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firstSheet="1" activeTab="6"/>
  </bookViews>
  <sheets>
    <sheet name="Laporan Realisasi APBDes" sheetId="1" r:id="rId1"/>
    <sheet name="CALK" sheetId="2" r:id="rId2"/>
    <sheet name="Laporan bulanan" sheetId="3" r:id="rId3"/>
    <sheet name="PROGRAM SEKTORAL" sheetId="4" r:id="rId4"/>
    <sheet name="ASET" sheetId="5" r:id="rId5"/>
    <sheet name="lap sem" sheetId="7" r:id="rId6"/>
    <sheet name="lamp LPPD" sheetId="8" r:id="rId7"/>
    <sheet name="lamp LPPD (2)" sheetId="9" r:id="rId8"/>
  </sheets>
  <externalReferences>
    <externalReference r:id="rId9"/>
    <externalReference r:id="rId10"/>
  </externalReferences>
  <definedNames>
    <definedName name="_xlnm.Print_Area" localSheetId="1">CALK!$A$1:$L$317</definedName>
  </definedNames>
  <calcPr calcId="144525"/>
</workbook>
</file>

<file path=xl/calcChain.xml><?xml version="1.0" encoding="utf-8"?>
<calcChain xmlns="http://schemas.openxmlformats.org/spreadsheetml/2006/main">
  <c r="I681" i="9" l="1"/>
  <c r="F681" i="9"/>
  <c r="I678" i="9"/>
  <c r="I684" i="9" s="1"/>
  <c r="F678" i="9"/>
  <c r="F677" i="9" s="1"/>
  <c r="H674" i="9"/>
  <c r="I674" i="9" s="1"/>
  <c r="G673" i="9"/>
  <c r="G672" i="9" s="1"/>
  <c r="G671" i="9" s="1"/>
  <c r="G670" i="9" s="1"/>
  <c r="F673" i="9"/>
  <c r="F672" i="9" s="1"/>
  <c r="F671" i="9" s="1"/>
  <c r="F670" i="9" s="1"/>
  <c r="H668" i="9"/>
  <c r="I668" i="9" s="1"/>
  <c r="G667" i="9"/>
  <c r="F667" i="9"/>
  <c r="F666" i="9" s="1"/>
  <c r="F665" i="9" s="1"/>
  <c r="F664" i="9" s="1"/>
  <c r="G666" i="9"/>
  <c r="G665" i="9" s="1"/>
  <c r="G664" i="9" s="1"/>
  <c r="H662" i="9"/>
  <c r="I662" i="9" s="1"/>
  <c r="G661" i="9"/>
  <c r="F661" i="9"/>
  <c r="G660" i="9"/>
  <c r="F660" i="9"/>
  <c r="F659" i="9" s="1"/>
  <c r="F658" i="9" s="1"/>
  <c r="G659" i="9"/>
  <c r="G658" i="9" s="1"/>
  <c r="H655" i="9"/>
  <c r="I655" i="9" s="1"/>
  <c r="J655" i="9" s="1"/>
  <c r="I654" i="9"/>
  <c r="J654" i="9" s="1"/>
  <c r="J653" i="9" s="1"/>
  <c r="H654" i="9"/>
  <c r="H653" i="9"/>
  <c r="G653" i="9"/>
  <c r="F653" i="9"/>
  <c r="I652" i="9"/>
  <c r="J652" i="9" s="1"/>
  <c r="H652" i="9"/>
  <c r="H651" i="9"/>
  <c r="I651" i="9" s="1"/>
  <c r="G650" i="9"/>
  <c r="F650" i="9"/>
  <c r="H649" i="9"/>
  <c r="I649" i="9" s="1"/>
  <c r="J649" i="9" s="1"/>
  <c r="H648" i="9"/>
  <c r="I648" i="9" s="1"/>
  <c r="G647" i="9"/>
  <c r="F647" i="9"/>
  <c r="F646" i="9" s="1"/>
  <c r="F645" i="9" s="1"/>
  <c r="F644" i="9" s="1"/>
  <c r="G646" i="9"/>
  <c r="G645" i="9" s="1"/>
  <c r="G644" i="9" s="1"/>
  <c r="H642" i="9"/>
  <c r="I642" i="9" s="1"/>
  <c r="J642" i="9" s="1"/>
  <c r="I641" i="9"/>
  <c r="J641" i="9" s="1"/>
  <c r="H641" i="9"/>
  <c r="H640" i="9"/>
  <c r="G640" i="9"/>
  <c r="F640" i="9"/>
  <c r="I639" i="9"/>
  <c r="J639" i="9" s="1"/>
  <c r="H639" i="9"/>
  <c r="H638" i="9"/>
  <c r="I638" i="9" s="1"/>
  <c r="G637" i="9"/>
  <c r="G636" i="9" s="1"/>
  <c r="G635" i="9" s="1"/>
  <c r="G634" i="9" s="1"/>
  <c r="F637" i="9"/>
  <c r="F636" i="9"/>
  <c r="F635" i="9"/>
  <c r="F634" i="9"/>
  <c r="H632" i="9"/>
  <c r="I632" i="9" s="1"/>
  <c r="J632" i="9" s="1"/>
  <c r="H631" i="9"/>
  <c r="I631" i="9" s="1"/>
  <c r="G630" i="9"/>
  <c r="F630" i="9"/>
  <c r="H629" i="9"/>
  <c r="I629" i="9" s="1"/>
  <c r="I628" i="9"/>
  <c r="J628" i="9" s="1"/>
  <c r="H628" i="9"/>
  <c r="G628" i="9"/>
  <c r="G627" i="9"/>
  <c r="F627" i="9"/>
  <c r="G626" i="9"/>
  <c r="F626" i="9"/>
  <c r="F625" i="9" s="1"/>
  <c r="G625" i="9"/>
  <c r="H623" i="9"/>
  <c r="I623" i="9" s="1"/>
  <c r="J623" i="9" s="1"/>
  <c r="H622" i="9"/>
  <c r="I622" i="9" s="1"/>
  <c r="G621" i="9"/>
  <c r="F621" i="9"/>
  <c r="F615" i="9" s="1"/>
  <c r="F614" i="9" s="1"/>
  <c r="H619" i="9"/>
  <c r="I619" i="9" s="1"/>
  <c r="J619" i="9" s="1"/>
  <c r="H618" i="9"/>
  <c r="I618" i="9" s="1"/>
  <c r="J618" i="9" s="1"/>
  <c r="I617" i="9"/>
  <c r="J617" i="9" s="1"/>
  <c r="H617" i="9"/>
  <c r="H616" i="9"/>
  <c r="G616" i="9"/>
  <c r="F616" i="9"/>
  <c r="G615" i="9"/>
  <c r="G614" i="9"/>
  <c r="H612" i="9"/>
  <c r="I612" i="9" s="1"/>
  <c r="J612" i="9" s="1"/>
  <c r="H611" i="9"/>
  <c r="I611" i="9" s="1"/>
  <c r="G610" i="9"/>
  <c r="F610" i="9"/>
  <c r="H609" i="9"/>
  <c r="I609" i="9" s="1"/>
  <c r="J609" i="9" s="1"/>
  <c r="I608" i="9"/>
  <c r="J608" i="9" s="1"/>
  <c r="H608" i="9"/>
  <c r="H607" i="9"/>
  <c r="G607" i="9"/>
  <c r="F607" i="9"/>
  <c r="I606" i="9"/>
  <c r="J606" i="9" s="1"/>
  <c r="H606" i="9"/>
  <c r="H605" i="9"/>
  <c r="I605" i="9" s="1"/>
  <c r="G604" i="9"/>
  <c r="G603" i="9" s="1"/>
  <c r="G602" i="9" s="1"/>
  <c r="G601" i="9" s="1"/>
  <c r="F604" i="9"/>
  <c r="F603" i="9"/>
  <c r="F602" i="9" s="1"/>
  <c r="H599" i="9"/>
  <c r="I599" i="9" s="1"/>
  <c r="J599" i="9" s="1"/>
  <c r="H598" i="9"/>
  <c r="I598" i="9" s="1"/>
  <c r="G597" i="9"/>
  <c r="F597" i="9"/>
  <c r="H596" i="9"/>
  <c r="I596" i="9" s="1"/>
  <c r="J596" i="9" s="1"/>
  <c r="I595" i="9"/>
  <c r="J595" i="9" s="1"/>
  <c r="J594" i="9" s="1"/>
  <c r="H595" i="9"/>
  <c r="H594" i="9"/>
  <c r="G594" i="9"/>
  <c r="F594" i="9"/>
  <c r="G593" i="9"/>
  <c r="F593" i="9"/>
  <c r="G592" i="9"/>
  <c r="F592" i="9"/>
  <c r="F591" i="9" s="1"/>
  <c r="G591" i="9"/>
  <c r="H589" i="9"/>
  <c r="I589" i="9" s="1"/>
  <c r="J589" i="9" s="1"/>
  <c r="H588" i="9"/>
  <c r="I588" i="9" s="1"/>
  <c r="G587" i="9"/>
  <c r="F587" i="9"/>
  <c r="H586" i="9"/>
  <c r="I586" i="9" s="1"/>
  <c r="J586" i="9" s="1"/>
  <c r="H585" i="9"/>
  <c r="I585" i="9" s="1"/>
  <c r="J585" i="9" s="1"/>
  <c r="I584" i="9"/>
  <c r="J584" i="9" s="1"/>
  <c r="H584" i="9"/>
  <c r="H583" i="9"/>
  <c r="I583" i="9" s="1"/>
  <c r="G582" i="9"/>
  <c r="G581" i="9" s="1"/>
  <c r="G580" i="9" s="1"/>
  <c r="F582" i="9"/>
  <c r="F581" i="9"/>
  <c r="F580" i="9"/>
  <c r="H578" i="9"/>
  <c r="I578" i="9" s="1"/>
  <c r="G577" i="9"/>
  <c r="F577" i="9"/>
  <c r="I576" i="9"/>
  <c r="J576" i="9" s="1"/>
  <c r="J575" i="9" s="1"/>
  <c r="H576" i="9"/>
  <c r="I575" i="9"/>
  <c r="H575" i="9"/>
  <c r="G575" i="9"/>
  <c r="F575" i="9"/>
  <c r="I574" i="9"/>
  <c r="J574" i="9" s="1"/>
  <c r="H574" i="9"/>
  <c r="H573" i="9"/>
  <c r="I573" i="9" s="1"/>
  <c r="H572" i="9"/>
  <c r="G572" i="9"/>
  <c r="G571" i="9" s="1"/>
  <c r="G570" i="9" s="1"/>
  <c r="G569" i="9" s="1"/>
  <c r="G568" i="9" s="1"/>
  <c r="F572" i="9"/>
  <c r="F571" i="9"/>
  <c r="F570" i="9" s="1"/>
  <c r="F569" i="9" s="1"/>
  <c r="H566" i="9"/>
  <c r="I566" i="9" s="1"/>
  <c r="J566" i="9" s="1"/>
  <c r="I565" i="9"/>
  <c r="J565" i="9" s="1"/>
  <c r="H565" i="9"/>
  <c r="H564" i="9"/>
  <c r="I564" i="9" s="1"/>
  <c r="G563" i="9"/>
  <c r="G562" i="9" s="1"/>
  <c r="G561" i="9" s="1"/>
  <c r="F563" i="9"/>
  <c r="F562" i="9"/>
  <c r="F561" i="9" s="1"/>
  <c r="H559" i="9"/>
  <c r="I559" i="9" s="1"/>
  <c r="J559" i="9" s="1"/>
  <c r="I558" i="9"/>
  <c r="J558" i="9" s="1"/>
  <c r="H558" i="9"/>
  <c r="H557" i="9"/>
  <c r="I557" i="9" s="1"/>
  <c r="G556" i="9"/>
  <c r="G555" i="9" s="1"/>
  <c r="F556" i="9"/>
  <c r="F555" i="9"/>
  <c r="F554" i="9" s="1"/>
  <c r="G554" i="9"/>
  <c r="H552" i="9"/>
  <c r="I552" i="9" s="1"/>
  <c r="G551" i="9"/>
  <c r="F551" i="9"/>
  <c r="H550" i="9"/>
  <c r="I550" i="9" s="1"/>
  <c r="J550" i="9" s="1"/>
  <c r="H549" i="9"/>
  <c r="I549" i="9" s="1"/>
  <c r="G548" i="9"/>
  <c r="F548" i="9"/>
  <c r="F547" i="9" s="1"/>
  <c r="F546" i="9" s="1"/>
  <c r="G547" i="9"/>
  <c r="G546" i="9" s="1"/>
  <c r="H544" i="9"/>
  <c r="I544" i="9" s="1"/>
  <c r="J544" i="9" s="1"/>
  <c r="H543" i="9"/>
  <c r="I543" i="9" s="1"/>
  <c r="G542" i="9"/>
  <c r="F542" i="9"/>
  <c r="F541" i="9" s="1"/>
  <c r="F540" i="9" s="1"/>
  <c r="G541" i="9"/>
  <c r="G540" i="9" s="1"/>
  <c r="I538" i="9"/>
  <c r="J538" i="9" s="1"/>
  <c r="J537" i="9" s="1"/>
  <c r="H538" i="9"/>
  <c r="I537" i="9"/>
  <c r="H537" i="9"/>
  <c r="G537" i="9"/>
  <c r="F537" i="9"/>
  <c r="I536" i="9"/>
  <c r="J536" i="9" s="1"/>
  <c r="H536" i="9"/>
  <c r="H535" i="9"/>
  <c r="I535" i="9" s="1"/>
  <c r="H534" i="9"/>
  <c r="G534" i="9"/>
  <c r="G533" i="9" s="1"/>
  <c r="G532" i="9" s="1"/>
  <c r="F534" i="9"/>
  <c r="H533" i="9"/>
  <c r="H532" i="9" s="1"/>
  <c r="F533" i="9"/>
  <c r="F532" i="9"/>
  <c r="H530" i="9"/>
  <c r="I530" i="9" s="1"/>
  <c r="G529" i="9"/>
  <c r="F529" i="9"/>
  <c r="F524" i="9" s="1"/>
  <c r="F523" i="9" s="1"/>
  <c r="H528" i="9"/>
  <c r="I528" i="9" s="1"/>
  <c r="J528" i="9" s="1"/>
  <c r="I527" i="9"/>
  <c r="J527" i="9" s="1"/>
  <c r="H527" i="9"/>
  <c r="H526" i="9"/>
  <c r="I526" i="9" s="1"/>
  <c r="G525" i="9"/>
  <c r="G524" i="9" s="1"/>
  <c r="G523" i="9" s="1"/>
  <c r="F525" i="9"/>
  <c r="H521" i="9"/>
  <c r="I521" i="9" s="1"/>
  <c r="G520" i="9"/>
  <c r="F520" i="9"/>
  <c r="H519" i="9"/>
  <c r="I519" i="9" s="1"/>
  <c r="G518" i="9"/>
  <c r="F518" i="9"/>
  <c r="G517" i="9"/>
  <c r="F517" i="9"/>
  <c r="F516" i="9" s="1"/>
  <c r="G516" i="9"/>
  <c r="H514" i="9"/>
  <c r="I514" i="9" s="1"/>
  <c r="G513" i="9"/>
  <c r="F513" i="9"/>
  <c r="H512" i="9"/>
  <c r="I512" i="9" s="1"/>
  <c r="J512" i="9" s="1"/>
  <c r="H511" i="9"/>
  <c r="I511" i="9" s="1"/>
  <c r="G510" i="9"/>
  <c r="F510" i="9"/>
  <c r="F509" i="9" s="1"/>
  <c r="F508" i="9" s="1"/>
  <c r="F507" i="9" s="1"/>
  <c r="G509" i="9"/>
  <c r="G508" i="9" s="1"/>
  <c r="H505" i="9"/>
  <c r="I505" i="9" s="1"/>
  <c r="J505" i="9" s="1"/>
  <c r="I504" i="9"/>
  <c r="J504" i="9" s="1"/>
  <c r="H504" i="9"/>
  <c r="H503" i="9"/>
  <c r="I503" i="9" s="1"/>
  <c r="G502" i="9"/>
  <c r="G501" i="9" s="1"/>
  <c r="G500" i="9" s="1"/>
  <c r="G491" i="9" s="1"/>
  <c r="F502" i="9"/>
  <c r="F501" i="9"/>
  <c r="F500" i="9"/>
  <c r="H498" i="9"/>
  <c r="I498" i="9" s="1"/>
  <c r="G497" i="9"/>
  <c r="F497" i="9"/>
  <c r="H496" i="9"/>
  <c r="I496" i="9" s="1"/>
  <c r="J496" i="9" s="1"/>
  <c r="I495" i="9"/>
  <c r="J495" i="9" s="1"/>
  <c r="J494" i="9" s="1"/>
  <c r="H495" i="9"/>
  <c r="H494" i="9"/>
  <c r="G494" i="9"/>
  <c r="F494" i="9"/>
  <c r="G493" i="9"/>
  <c r="F493" i="9"/>
  <c r="G492" i="9"/>
  <c r="F492" i="9"/>
  <c r="F491" i="9" s="1"/>
  <c r="H489" i="9"/>
  <c r="I489" i="9" s="1"/>
  <c r="G488" i="9"/>
  <c r="F488" i="9"/>
  <c r="H487" i="9"/>
  <c r="I487" i="9" s="1"/>
  <c r="G486" i="9"/>
  <c r="F486" i="9"/>
  <c r="H485" i="9"/>
  <c r="I485" i="9" s="1"/>
  <c r="G484" i="9"/>
  <c r="G483" i="9" s="1"/>
  <c r="G482" i="9" s="1"/>
  <c r="F484" i="9"/>
  <c r="F483" i="9"/>
  <c r="F482" i="9"/>
  <c r="H480" i="9"/>
  <c r="I480" i="9" s="1"/>
  <c r="J480" i="9" s="1"/>
  <c r="I479" i="9"/>
  <c r="J479" i="9" s="1"/>
  <c r="H479" i="9"/>
  <c r="H478" i="9"/>
  <c r="G478" i="9"/>
  <c r="F478" i="9"/>
  <c r="I477" i="9"/>
  <c r="J477" i="9" s="1"/>
  <c r="J476" i="9" s="1"/>
  <c r="H477" i="9"/>
  <c r="H476" i="9"/>
  <c r="G476" i="9"/>
  <c r="F476" i="9"/>
  <c r="I475" i="9"/>
  <c r="J475" i="9" s="1"/>
  <c r="H475" i="9"/>
  <c r="H474" i="9"/>
  <c r="I474" i="9" s="1"/>
  <c r="G473" i="9"/>
  <c r="G472" i="9" s="1"/>
  <c r="G471" i="9" s="1"/>
  <c r="G470" i="9" s="1"/>
  <c r="F473" i="9"/>
  <c r="F472" i="9"/>
  <c r="F471" i="9"/>
  <c r="F470" i="9"/>
  <c r="H468" i="9"/>
  <c r="I468" i="9" s="1"/>
  <c r="G467" i="9"/>
  <c r="F467" i="9"/>
  <c r="H466" i="9"/>
  <c r="I466" i="9" s="1"/>
  <c r="G465" i="9"/>
  <c r="F465" i="9"/>
  <c r="F464" i="9" s="1"/>
  <c r="F463" i="9" s="1"/>
  <c r="F462" i="9" s="1"/>
  <c r="F461" i="9" s="1"/>
  <c r="G464" i="9"/>
  <c r="G463" i="9" s="1"/>
  <c r="G462" i="9" s="1"/>
  <c r="H459" i="9"/>
  <c r="I459" i="9" s="1"/>
  <c r="G458" i="9"/>
  <c r="F458" i="9"/>
  <c r="F457" i="9" s="1"/>
  <c r="F456" i="9" s="1"/>
  <c r="G457" i="9"/>
  <c r="G456" i="9" s="1"/>
  <c r="G455" i="9" s="1"/>
  <c r="F455" i="9"/>
  <c r="H453" i="9"/>
  <c r="I453" i="9" s="1"/>
  <c r="J453" i="9" s="1"/>
  <c r="J452" i="9" s="1"/>
  <c r="I452" i="9"/>
  <c r="H452" i="9"/>
  <c r="G452" i="9"/>
  <c r="F452" i="9"/>
  <c r="J451" i="9"/>
  <c r="J450" i="9" s="1"/>
  <c r="H451" i="9"/>
  <c r="I451" i="9" s="1"/>
  <c r="I450" i="9" s="1"/>
  <c r="H450" i="9"/>
  <c r="G450" i="9"/>
  <c r="F450" i="9"/>
  <c r="F445" i="9" s="1"/>
  <c r="H449" i="9"/>
  <c r="I449" i="9" s="1"/>
  <c r="J449" i="9" s="1"/>
  <c r="I448" i="9"/>
  <c r="J448" i="9" s="1"/>
  <c r="H448" i="9"/>
  <c r="I447" i="9"/>
  <c r="H447" i="9"/>
  <c r="H446" i="9"/>
  <c r="G446" i="9"/>
  <c r="G445" i="9" s="1"/>
  <c r="G444" i="9" s="1"/>
  <c r="F446" i="9"/>
  <c r="H445" i="9"/>
  <c r="H444" i="9" s="1"/>
  <c r="F444" i="9"/>
  <c r="H442" i="9"/>
  <c r="G442" i="9"/>
  <c r="I442" i="9" s="1"/>
  <c r="I441" i="9" s="1"/>
  <c r="H441" i="9"/>
  <c r="F441" i="9"/>
  <c r="H440" i="9"/>
  <c r="G439" i="9"/>
  <c r="F439" i="9"/>
  <c r="H438" i="9"/>
  <c r="I438" i="9" s="1"/>
  <c r="J438" i="9" s="1"/>
  <c r="I437" i="9"/>
  <c r="J437" i="9" s="1"/>
  <c r="H437" i="9"/>
  <c r="H436" i="9"/>
  <c r="I436" i="9" s="1"/>
  <c r="G435" i="9"/>
  <c r="F435" i="9"/>
  <c r="F434" i="9"/>
  <c r="F433" i="9" s="1"/>
  <c r="F432" i="9" s="1"/>
  <c r="H430" i="9"/>
  <c r="G430" i="9"/>
  <c r="I430" i="9" s="1"/>
  <c r="J430" i="9" s="1"/>
  <c r="I429" i="9"/>
  <c r="J429" i="9" s="1"/>
  <c r="H429" i="9"/>
  <c r="H428" i="9"/>
  <c r="I428" i="9" s="1"/>
  <c r="G427" i="9"/>
  <c r="G426" i="9" s="1"/>
  <c r="F427" i="9"/>
  <c r="F426" i="9"/>
  <c r="I425" i="9"/>
  <c r="J425" i="9" s="1"/>
  <c r="H425" i="9"/>
  <c r="H424" i="9"/>
  <c r="H422" i="9" s="1"/>
  <c r="H421" i="9" s="1"/>
  <c r="I423" i="9"/>
  <c r="J423" i="9" s="1"/>
  <c r="H423" i="9"/>
  <c r="G422" i="9"/>
  <c r="F422" i="9"/>
  <c r="F421" i="9" s="1"/>
  <c r="F420" i="9" s="1"/>
  <c r="G421" i="9"/>
  <c r="G420" i="9" s="1"/>
  <c r="I418" i="9"/>
  <c r="J418" i="9" s="1"/>
  <c r="H418" i="9"/>
  <c r="H417" i="9"/>
  <c r="I417" i="9" s="1"/>
  <c r="G416" i="9"/>
  <c r="G415" i="9" s="1"/>
  <c r="F416" i="9"/>
  <c r="F415" i="9"/>
  <c r="I414" i="9"/>
  <c r="J414" i="9" s="1"/>
  <c r="H414" i="9"/>
  <c r="H413" i="9"/>
  <c r="I413" i="9" s="1"/>
  <c r="G412" i="9"/>
  <c r="G411" i="9" s="1"/>
  <c r="F412" i="9"/>
  <c r="F411" i="9"/>
  <c r="F410" i="9" s="1"/>
  <c r="H408" i="9"/>
  <c r="I408" i="9" s="1"/>
  <c r="J408" i="9" s="1"/>
  <c r="I407" i="9"/>
  <c r="J407" i="9" s="1"/>
  <c r="J406" i="9" s="1"/>
  <c r="J405" i="9" s="1"/>
  <c r="H407" i="9"/>
  <c r="H406" i="9"/>
  <c r="H405" i="9" s="1"/>
  <c r="G406" i="9"/>
  <c r="F406" i="9"/>
  <c r="F405" i="9" s="1"/>
  <c r="G405" i="9"/>
  <c r="H404" i="9"/>
  <c r="I404" i="9" s="1"/>
  <c r="J404" i="9" s="1"/>
  <c r="I403" i="9"/>
  <c r="J403" i="9" s="1"/>
  <c r="H403" i="9"/>
  <c r="H402" i="9"/>
  <c r="H400" i="9" s="1"/>
  <c r="H399" i="9" s="1"/>
  <c r="H398" i="9" s="1"/>
  <c r="I401" i="9"/>
  <c r="J401" i="9" s="1"/>
  <c r="H401" i="9"/>
  <c r="G400" i="9"/>
  <c r="F400" i="9"/>
  <c r="F399" i="9" s="1"/>
  <c r="F398" i="9" s="1"/>
  <c r="G399" i="9"/>
  <c r="G398" i="9" s="1"/>
  <c r="I396" i="9"/>
  <c r="J396" i="9" s="1"/>
  <c r="H396" i="9"/>
  <c r="H395" i="9"/>
  <c r="H393" i="9" s="1"/>
  <c r="H392" i="9" s="1"/>
  <c r="I394" i="9"/>
  <c r="J394" i="9" s="1"/>
  <c r="H394" i="9"/>
  <c r="G393" i="9"/>
  <c r="F393" i="9"/>
  <c r="F392" i="9" s="1"/>
  <c r="G392" i="9"/>
  <c r="H391" i="9"/>
  <c r="I391" i="9" s="1"/>
  <c r="J391" i="9" s="1"/>
  <c r="I390" i="9"/>
  <c r="J390" i="9" s="1"/>
  <c r="H390" i="9"/>
  <c r="H389" i="9"/>
  <c r="I389" i="9" s="1"/>
  <c r="J389" i="9" s="1"/>
  <c r="I388" i="9"/>
  <c r="J388" i="9" s="1"/>
  <c r="H388" i="9"/>
  <c r="H387" i="9"/>
  <c r="H386" i="9" s="1"/>
  <c r="H385" i="9" s="1"/>
  <c r="G387" i="9"/>
  <c r="F387" i="9"/>
  <c r="F386" i="9" s="1"/>
  <c r="G386" i="9"/>
  <c r="G385" i="9" s="1"/>
  <c r="I383" i="9"/>
  <c r="J383" i="9" s="1"/>
  <c r="H383" i="9"/>
  <c r="H382" i="9"/>
  <c r="I382" i="9" s="1"/>
  <c r="J382" i="9" s="1"/>
  <c r="I381" i="9"/>
  <c r="J381" i="9" s="1"/>
  <c r="H381" i="9"/>
  <c r="H380" i="9"/>
  <c r="I380" i="9" s="1"/>
  <c r="G379" i="9"/>
  <c r="G378" i="9" s="1"/>
  <c r="F379" i="9"/>
  <c r="F378" i="9"/>
  <c r="I377" i="9"/>
  <c r="J377" i="9" s="1"/>
  <c r="H377" i="9"/>
  <c r="H376" i="9"/>
  <c r="I376" i="9" s="1"/>
  <c r="J376" i="9" s="1"/>
  <c r="I375" i="9"/>
  <c r="J375" i="9" s="1"/>
  <c r="H375" i="9"/>
  <c r="H374" i="9"/>
  <c r="I374" i="9" s="1"/>
  <c r="G373" i="9"/>
  <c r="G372" i="9" s="1"/>
  <c r="F373" i="9"/>
  <c r="F372" i="9"/>
  <c r="F371" i="9" s="1"/>
  <c r="I368" i="9"/>
  <c r="J368" i="9" s="1"/>
  <c r="H368" i="9"/>
  <c r="H367" i="9"/>
  <c r="I367" i="9" s="1"/>
  <c r="G366" i="9"/>
  <c r="F366" i="9"/>
  <c r="H365" i="9"/>
  <c r="H363" i="9" s="1"/>
  <c r="I364" i="9"/>
  <c r="J364" i="9" s="1"/>
  <c r="H364" i="9"/>
  <c r="G363" i="9"/>
  <c r="F363" i="9"/>
  <c r="F362" i="9" s="1"/>
  <c r="F361" i="9" s="1"/>
  <c r="G362" i="9"/>
  <c r="G361" i="9" s="1"/>
  <c r="I359" i="9"/>
  <c r="J359" i="9" s="1"/>
  <c r="J358" i="9" s="1"/>
  <c r="H359" i="9"/>
  <c r="H358" i="9"/>
  <c r="G358" i="9"/>
  <c r="F358" i="9"/>
  <c r="I357" i="9"/>
  <c r="J357" i="9" s="1"/>
  <c r="H357" i="9"/>
  <c r="H356" i="9"/>
  <c r="H354" i="9" s="1"/>
  <c r="H353" i="9" s="1"/>
  <c r="H352" i="9" s="1"/>
  <c r="I355" i="9"/>
  <c r="J355" i="9" s="1"/>
  <c r="H355" i="9"/>
  <c r="G354" i="9"/>
  <c r="F354" i="9"/>
  <c r="F353" i="9" s="1"/>
  <c r="F352" i="9" s="1"/>
  <c r="G353" i="9"/>
  <c r="G352" i="9" s="1"/>
  <c r="I350" i="9"/>
  <c r="J350" i="9" s="1"/>
  <c r="J349" i="9" s="1"/>
  <c r="J348" i="9" s="1"/>
  <c r="J347" i="9" s="1"/>
  <c r="H350" i="9"/>
  <c r="H349" i="9"/>
  <c r="H348" i="9" s="1"/>
  <c r="H347" i="9" s="1"/>
  <c r="G349" i="9"/>
  <c r="F349" i="9"/>
  <c r="F348" i="9" s="1"/>
  <c r="F347" i="9" s="1"/>
  <c r="G348" i="9"/>
  <c r="G347" i="9" s="1"/>
  <c r="I345" i="9"/>
  <c r="J345" i="9" s="1"/>
  <c r="J344" i="9" s="1"/>
  <c r="H345" i="9"/>
  <c r="H344" i="9"/>
  <c r="G344" i="9"/>
  <c r="F344" i="9"/>
  <c r="I343" i="9"/>
  <c r="J343" i="9" s="1"/>
  <c r="J342" i="9" s="1"/>
  <c r="H343" i="9"/>
  <c r="H342" i="9"/>
  <c r="H341" i="9" s="1"/>
  <c r="H340" i="9" s="1"/>
  <c r="G342" i="9"/>
  <c r="F342" i="9"/>
  <c r="F341" i="9" s="1"/>
  <c r="F340" i="9" s="1"/>
  <c r="G341" i="9"/>
  <c r="G340" i="9" s="1"/>
  <c r="I338" i="9"/>
  <c r="J338" i="9" s="1"/>
  <c r="J337" i="9" s="1"/>
  <c r="H338" i="9"/>
  <c r="H337" i="9"/>
  <c r="G337" i="9"/>
  <c r="F337" i="9"/>
  <c r="I336" i="9"/>
  <c r="J336" i="9" s="1"/>
  <c r="H336" i="9"/>
  <c r="H335" i="9"/>
  <c r="H333" i="9" s="1"/>
  <c r="H332" i="9" s="1"/>
  <c r="I334" i="9"/>
  <c r="J334" i="9" s="1"/>
  <c r="H334" i="9"/>
  <c r="G333" i="9"/>
  <c r="F333" i="9"/>
  <c r="F332" i="9" s="1"/>
  <c r="F331" i="9" s="1"/>
  <c r="G332" i="9"/>
  <c r="G331" i="9" s="1"/>
  <c r="H331" i="9"/>
  <c r="I329" i="9"/>
  <c r="H329" i="9"/>
  <c r="H328" i="9"/>
  <c r="H327" i="9" s="1"/>
  <c r="G328" i="9"/>
  <c r="F328" i="9"/>
  <c r="F327" i="9" s="1"/>
  <c r="F326" i="9" s="1"/>
  <c r="G327" i="9"/>
  <c r="G326" i="9" s="1"/>
  <c r="H326" i="9"/>
  <c r="I324" i="9"/>
  <c r="J324" i="9" s="1"/>
  <c r="H324" i="9"/>
  <c r="H323" i="9"/>
  <c r="G322" i="9"/>
  <c r="F322" i="9"/>
  <c r="H321" i="9"/>
  <c r="I321" i="9" s="1"/>
  <c r="G320" i="9"/>
  <c r="G319" i="9" s="1"/>
  <c r="G318" i="9" s="1"/>
  <c r="F320" i="9"/>
  <c r="F319" i="9" s="1"/>
  <c r="F318" i="9" s="1"/>
  <c r="J316" i="9"/>
  <c r="J315" i="9" s="1"/>
  <c r="J314" i="9" s="1"/>
  <c r="I316" i="9"/>
  <c r="H316" i="9"/>
  <c r="I315" i="9"/>
  <c r="I314" i="9" s="1"/>
  <c r="H315" i="9"/>
  <c r="H314" i="9" s="1"/>
  <c r="G315" i="9"/>
  <c r="F315" i="9"/>
  <c r="G314" i="9"/>
  <c r="F314" i="9"/>
  <c r="H313" i="9"/>
  <c r="I313" i="9" s="1"/>
  <c r="J312" i="9"/>
  <c r="I312" i="9"/>
  <c r="H312" i="9"/>
  <c r="H311" i="9"/>
  <c r="G311" i="9"/>
  <c r="F311" i="9"/>
  <c r="J310" i="9"/>
  <c r="I310" i="9"/>
  <c r="H310" i="9"/>
  <c r="G310" i="9"/>
  <c r="J309" i="9"/>
  <c r="I309" i="9"/>
  <c r="H309" i="9"/>
  <c r="H308" i="9"/>
  <c r="I308" i="9" s="1"/>
  <c r="H307" i="9"/>
  <c r="G307" i="9"/>
  <c r="G306" i="9" s="1"/>
  <c r="G305" i="9" s="1"/>
  <c r="F307" i="9"/>
  <c r="H306" i="9"/>
  <c r="H305" i="9" s="1"/>
  <c r="F306" i="9"/>
  <c r="F305" i="9"/>
  <c r="H303" i="9"/>
  <c r="I303" i="9" s="1"/>
  <c r="I302" i="9"/>
  <c r="J302" i="9" s="1"/>
  <c r="H302" i="9"/>
  <c r="H301" i="9"/>
  <c r="G301" i="9"/>
  <c r="F301" i="9"/>
  <c r="I300" i="9"/>
  <c r="J300" i="9" s="1"/>
  <c r="H300" i="9"/>
  <c r="H299" i="9"/>
  <c r="I299" i="9" s="1"/>
  <c r="G298" i="9"/>
  <c r="G297" i="9" s="1"/>
  <c r="G296" i="9" s="1"/>
  <c r="F298" i="9"/>
  <c r="F297" i="9"/>
  <c r="F296" i="9"/>
  <c r="H294" i="9"/>
  <c r="I294" i="9" s="1"/>
  <c r="G293" i="9"/>
  <c r="F293" i="9"/>
  <c r="H292" i="9"/>
  <c r="I292" i="9" s="1"/>
  <c r="J292" i="9" s="1"/>
  <c r="I291" i="9"/>
  <c r="J291" i="9" s="1"/>
  <c r="H291" i="9"/>
  <c r="H290" i="9"/>
  <c r="I290" i="9" s="1"/>
  <c r="G289" i="9"/>
  <c r="F289" i="9"/>
  <c r="H288" i="9"/>
  <c r="I288" i="9" s="1"/>
  <c r="J288" i="9" s="1"/>
  <c r="H287" i="9"/>
  <c r="I287" i="9" s="1"/>
  <c r="J287" i="9" s="1"/>
  <c r="H286" i="9"/>
  <c r="I286" i="9" s="1"/>
  <c r="G285" i="9"/>
  <c r="F285" i="9"/>
  <c r="G284" i="9"/>
  <c r="F284" i="9"/>
  <c r="F283" i="9" s="1"/>
  <c r="F282" i="9" s="1"/>
  <c r="G283" i="9"/>
  <c r="G282" i="9" s="1"/>
  <c r="I280" i="9"/>
  <c r="J280" i="9" s="1"/>
  <c r="H280" i="9"/>
  <c r="G280" i="9"/>
  <c r="I279" i="9"/>
  <c r="J279" i="9" s="1"/>
  <c r="H279" i="9"/>
  <c r="H278" i="9"/>
  <c r="I278" i="9" s="1"/>
  <c r="H277" i="9"/>
  <c r="G277" i="9"/>
  <c r="G276" i="9" s="1"/>
  <c r="G269" i="9" s="1"/>
  <c r="F277" i="9"/>
  <c r="H276" i="9"/>
  <c r="F276" i="9"/>
  <c r="I275" i="9"/>
  <c r="J275" i="9" s="1"/>
  <c r="H275" i="9"/>
  <c r="H274" i="9"/>
  <c r="I274" i="9" s="1"/>
  <c r="J274" i="9" s="1"/>
  <c r="H273" i="9"/>
  <c r="I273" i="9" s="1"/>
  <c r="J273" i="9" s="1"/>
  <c r="H272" i="9"/>
  <c r="I272" i="9" s="1"/>
  <c r="G271" i="9"/>
  <c r="F271" i="9"/>
  <c r="G270" i="9"/>
  <c r="F270" i="9"/>
  <c r="F269" i="9" s="1"/>
  <c r="H267" i="9"/>
  <c r="I267" i="9" s="1"/>
  <c r="G266" i="9"/>
  <c r="F266" i="9"/>
  <c r="H265" i="9"/>
  <c r="I265" i="9" s="1"/>
  <c r="G264" i="9"/>
  <c r="F264" i="9"/>
  <c r="H263" i="9"/>
  <c r="I263" i="9" s="1"/>
  <c r="J263" i="9" s="1"/>
  <c r="H262" i="9"/>
  <c r="I262" i="9" s="1"/>
  <c r="G261" i="9"/>
  <c r="F261" i="9"/>
  <c r="F260" i="9" s="1"/>
  <c r="F259" i="9" s="1"/>
  <c r="G260" i="9"/>
  <c r="G259" i="9" s="1"/>
  <c r="I257" i="9"/>
  <c r="J257" i="9" s="1"/>
  <c r="J256" i="9" s="1"/>
  <c r="H257" i="9"/>
  <c r="H256" i="9"/>
  <c r="G256" i="9"/>
  <c r="F256" i="9"/>
  <c r="I255" i="9"/>
  <c r="J255" i="9" s="1"/>
  <c r="H255" i="9"/>
  <c r="H254" i="9"/>
  <c r="I254" i="9" s="1"/>
  <c r="J254" i="9" s="1"/>
  <c r="H253" i="9"/>
  <c r="I253" i="9" s="1"/>
  <c r="G252" i="9"/>
  <c r="F252" i="9"/>
  <c r="H251" i="9"/>
  <c r="I251" i="9" s="1"/>
  <c r="J251" i="9" s="1"/>
  <c r="H250" i="9"/>
  <c r="I250" i="9" s="1"/>
  <c r="G249" i="9"/>
  <c r="F249" i="9"/>
  <c r="G248" i="9"/>
  <c r="F248" i="9"/>
  <c r="F247" i="9" s="1"/>
  <c r="F246" i="9" s="1"/>
  <c r="G247" i="9"/>
  <c r="H243" i="9"/>
  <c r="I243" i="9" s="1"/>
  <c r="H242" i="9"/>
  <c r="G242" i="9"/>
  <c r="F242" i="9"/>
  <c r="H241" i="9"/>
  <c r="I241" i="9" s="1"/>
  <c r="H240" i="9"/>
  <c r="G240" i="9"/>
  <c r="F240" i="9"/>
  <c r="H239" i="9"/>
  <c r="I239" i="9" s="1"/>
  <c r="H238" i="9"/>
  <c r="G238" i="9"/>
  <c r="F238" i="9"/>
  <c r="H237" i="9"/>
  <c r="G237" i="9"/>
  <c r="F237" i="9"/>
  <c r="F236" i="9" s="1"/>
  <c r="H236" i="9"/>
  <c r="G236" i="9"/>
  <c r="H234" i="9"/>
  <c r="I234" i="9" s="1"/>
  <c r="H233" i="9"/>
  <c r="G233" i="9"/>
  <c r="F233" i="9"/>
  <c r="H232" i="9"/>
  <c r="I232" i="9" s="1"/>
  <c r="J232" i="9" s="1"/>
  <c r="H231" i="9"/>
  <c r="I231" i="9" s="1"/>
  <c r="G230" i="9"/>
  <c r="F230" i="9"/>
  <c r="H229" i="9"/>
  <c r="I229" i="9" s="1"/>
  <c r="G228" i="9"/>
  <c r="F228" i="9"/>
  <c r="H227" i="9"/>
  <c r="I227" i="9" s="1"/>
  <c r="J227" i="9" s="1"/>
  <c r="H226" i="9"/>
  <c r="I226" i="9" s="1"/>
  <c r="G225" i="9"/>
  <c r="F225" i="9"/>
  <c r="H224" i="9"/>
  <c r="G224" i="9"/>
  <c r="I224" i="9" s="1"/>
  <c r="J224" i="9" s="1"/>
  <c r="H223" i="9"/>
  <c r="I223" i="9" s="1"/>
  <c r="J222" i="9"/>
  <c r="I222" i="9"/>
  <c r="H222" i="9"/>
  <c r="H221" i="9"/>
  <c r="F221" i="9"/>
  <c r="F220" i="9"/>
  <c r="F219" i="9" s="1"/>
  <c r="I216" i="9"/>
  <c r="J216" i="9" s="1"/>
  <c r="J215" i="9" s="1"/>
  <c r="J214" i="9" s="1"/>
  <c r="J213" i="9" s="1"/>
  <c r="H216" i="9"/>
  <c r="H215" i="9"/>
  <c r="H214" i="9" s="1"/>
  <c r="H213" i="9" s="1"/>
  <c r="G215" i="9"/>
  <c r="F215" i="9"/>
  <c r="G214" i="9"/>
  <c r="F214" i="9"/>
  <c r="G213" i="9"/>
  <c r="F213" i="9"/>
  <c r="H211" i="9"/>
  <c r="I211" i="9" s="1"/>
  <c r="H210" i="9"/>
  <c r="G210" i="9"/>
  <c r="F210" i="9"/>
  <c r="H209" i="9"/>
  <c r="I209" i="9" s="1"/>
  <c r="J209" i="9" s="1"/>
  <c r="H208" i="9"/>
  <c r="I208" i="9" s="1"/>
  <c r="H207" i="9"/>
  <c r="G207" i="9"/>
  <c r="F207" i="9"/>
  <c r="J206" i="9"/>
  <c r="I206" i="9"/>
  <c r="H206" i="9"/>
  <c r="I205" i="9"/>
  <c r="J205" i="9" s="1"/>
  <c r="H205" i="9"/>
  <c r="H204" i="9"/>
  <c r="I204" i="9" s="1"/>
  <c r="G203" i="9"/>
  <c r="G202" i="9" s="1"/>
  <c r="G201" i="9" s="1"/>
  <c r="F203" i="9"/>
  <c r="F202" i="9" s="1"/>
  <c r="F201" i="9" s="1"/>
  <c r="J199" i="9"/>
  <c r="I199" i="9"/>
  <c r="H199" i="9"/>
  <c r="I198" i="9"/>
  <c r="H198" i="9"/>
  <c r="H197" i="9"/>
  <c r="H196" i="9" s="1"/>
  <c r="H195" i="9" s="1"/>
  <c r="G197" i="9"/>
  <c r="G196" i="9" s="1"/>
  <c r="G195" i="9" s="1"/>
  <c r="F197" i="9"/>
  <c r="F196" i="9"/>
  <c r="F195" i="9"/>
  <c r="H193" i="9"/>
  <c r="G193" i="9"/>
  <c r="I193" i="9" s="1"/>
  <c r="H192" i="9"/>
  <c r="G192" i="9"/>
  <c r="G191" i="9" s="1"/>
  <c r="G187" i="9" s="1"/>
  <c r="F192" i="9"/>
  <c r="F191" i="9" s="1"/>
  <c r="H191" i="9"/>
  <c r="H190" i="9"/>
  <c r="I190" i="9" s="1"/>
  <c r="H189" i="9"/>
  <c r="H188" i="9" s="1"/>
  <c r="H187" i="9" s="1"/>
  <c r="G189" i="9"/>
  <c r="F189" i="9"/>
  <c r="G188" i="9"/>
  <c r="F188" i="9"/>
  <c r="F187" i="9"/>
  <c r="H185" i="9"/>
  <c r="I185" i="9" s="1"/>
  <c r="J185" i="9" s="1"/>
  <c r="H184" i="9"/>
  <c r="I184" i="9" s="1"/>
  <c r="G183" i="9"/>
  <c r="F183" i="9"/>
  <c r="G182" i="9"/>
  <c r="F182" i="9"/>
  <c r="F181" i="9" s="1"/>
  <c r="G181" i="9"/>
  <c r="H179" i="9"/>
  <c r="I179" i="9" s="1"/>
  <c r="J179" i="9" s="1"/>
  <c r="H178" i="9"/>
  <c r="I178" i="9" s="1"/>
  <c r="G177" i="9"/>
  <c r="F177" i="9"/>
  <c r="F176" i="9" s="1"/>
  <c r="F175" i="9" s="1"/>
  <c r="G176" i="9"/>
  <c r="G175" i="9" s="1"/>
  <c r="I173" i="9"/>
  <c r="J173" i="9" s="1"/>
  <c r="H173" i="9"/>
  <c r="H172" i="9"/>
  <c r="I172" i="9" s="1"/>
  <c r="G171" i="9"/>
  <c r="G170" i="9" s="1"/>
  <c r="G169" i="9" s="1"/>
  <c r="F171" i="9"/>
  <c r="F170" i="9"/>
  <c r="F169" i="9"/>
  <c r="H167" i="9"/>
  <c r="I167" i="9" s="1"/>
  <c r="G166" i="9"/>
  <c r="F166" i="9"/>
  <c r="H165" i="9"/>
  <c r="I165" i="9" s="1"/>
  <c r="J165" i="9" s="1"/>
  <c r="I164" i="9"/>
  <c r="J164" i="9" s="1"/>
  <c r="H164" i="9"/>
  <c r="H163" i="9"/>
  <c r="I163" i="9" s="1"/>
  <c r="G162" i="9"/>
  <c r="G161" i="9" s="1"/>
  <c r="G160" i="9" s="1"/>
  <c r="F162" i="9"/>
  <c r="F161" i="9"/>
  <c r="F160" i="9" s="1"/>
  <c r="H158" i="9"/>
  <c r="I158" i="9" s="1"/>
  <c r="J158" i="9" s="1"/>
  <c r="I157" i="9"/>
  <c r="J157" i="9" s="1"/>
  <c r="J156" i="9" s="1"/>
  <c r="J155" i="9" s="1"/>
  <c r="J154" i="9" s="1"/>
  <c r="H157" i="9"/>
  <c r="H156" i="9"/>
  <c r="H155" i="9" s="1"/>
  <c r="H154" i="9" s="1"/>
  <c r="G156" i="9"/>
  <c r="F156" i="9"/>
  <c r="F155" i="9" s="1"/>
  <c r="F154" i="9" s="1"/>
  <c r="G155" i="9"/>
  <c r="G154" i="9" s="1"/>
  <c r="I152" i="9"/>
  <c r="J152" i="9" s="1"/>
  <c r="H152" i="9"/>
  <c r="H151" i="9"/>
  <c r="I151" i="9" s="1"/>
  <c r="J151" i="9" s="1"/>
  <c r="I150" i="9"/>
  <c r="J150" i="9" s="1"/>
  <c r="H150" i="9"/>
  <c r="H149" i="9"/>
  <c r="H148" i="9" s="1"/>
  <c r="H147" i="9" s="1"/>
  <c r="G149" i="9"/>
  <c r="F149" i="9"/>
  <c r="F148" i="9" s="1"/>
  <c r="F147" i="9" s="1"/>
  <c r="G148" i="9"/>
  <c r="G147" i="9" s="1"/>
  <c r="H144" i="9"/>
  <c r="I144" i="9" s="1"/>
  <c r="G144" i="9"/>
  <c r="H143" i="9"/>
  <c r="G143" i="9"/>
  <c r="F143" i="9"/>
  <c r="I142" i="9"/>
  <c r="J142" i="9" s="1"/>
  <c r="H142" i="9"/>
  <c r="H141" i="9"/>
  <c r="H139" i="9" s="1"/>
  <c r="H138" i="9" s="1"/>
  <c r="H137" i="9" s="1"/>
  <c r="I140" i="9"/>
  <c r="J140" i="9" s="1"/>
  <c r="H140" i="9"/>
  <c r="G139" i="9"/>
  <c r="F139" i="9"/>
  <c r="F138" i="9" s="1"/>
  <c r="F137" i="9" s="1"/>
  <c r="G138" i="9"/>
  <c r="G137" i="9" s="1"/>
  <c r="I135" i="9"/>
  <c r="J135" i="9" s="1"/>
  <c r="H135" i="9"/>
  <c r="H134" i="9"/>
  <c r="H132" i="9" s="1"/>
  <c r="H131" i="9" s="1"/>
  <c r="H130" i="9" s="1"/>
  <c r="I133" i="9"/>
  <c r="J133" i="9" s="1"/>
  <c r="H133" i="9"/>
  <c r="G132" i="9"/>
  <c r="F132" i="9"/>
  <c r="F131" i="9" s="1"/>
  <c r="F130" i="9" s="1"/>
  <c r="G131" i="9"/>
  <c r="G130" i="9" s="1"/>
  <c r="I128" i="9"/>
  <c r="J128" i="9" s="1"/>
  <c r="J127" i="9" s="1"/>
  <c r="H128" i="9"/>
  <c r="G128" i="9"/>
  <c r="I127" i="9"/>
  <c r="H127" i="9"/>
  <c r="G127" i="9"/>
  <c r="F127" i="9"/>
  <c r="H126" i="9"/>
  <c r="I126" i="9" s="1"/>
  <c r="I125" i="9"/>
  <c r="J125" i="9" s="1"/>
  <c r="H125" i="9"/>
  <c r="G125" i="9"/>
  <c r="G124" i="9"/>
  <c r="G123" i="9" s="1"/>
  <c r="G122" i="9" s="1"/>
  <c r="G121" i="9" s="1"/>
  <c r="F124" i="9"/>
  <c r="F123" i="9"/>
  <c r="F122" i="9" s="1"/>
  <c r="I119" i="9"/>
  <c r="J119" i="9" s="1"/>
  <c r="J118" i="9" s="1"/>
  <c r="J117" i="9" s="1"/>
  <c r="J116" i="9" s="1"/>
  <c r="H119" i="9"/>
  <c r="H118" i="9"/>
  <c r="H117" i="9" s="1"/>
  <c r="H116" i="9" s="1"/>
  <c r="G118" i="9"/>
  <c r="F118" i="9"/>
  <c r="F117" i="9" s="1"/>
  <c r="F116" i="9" s="1"/>
  <c r="G117" i="9"/>
  <c r="G116" i="9" s="1"/>
  <c r="H114" i="9"/>
  <c r="G114" i="9"/>
  <c r="I114" i="9" s="1"/>
  <c r="H113" i="9"/>
  <c r="G113" i="9"/>
  <c r="G112" i="9" s="1"/>
  <c r="G111" i="9" s="1"/>
  <c r="F113" i="9"/>
  <c r="H112" i="9"/>
  <c r="H111" i="9" s="1"/>
  <c r="F112" i="9"/>
  <c r="F111" i="9" s="1"/>
  <c r="H109" i="9"/>
  <c r="I109" i="9" s="1"/>
  <c r="G108" i="9"/>
  <c r="G107" i="9" s="1"/>
  <c r="G106" i="9" s="1"/>
  <c r="G105" i="9" s="1"/>
  <c r="F108" i="9"/>
  <c r="F107" i="9"/>
  <c r="F106" i="9" s="1"/>
  <c r="F105" i="9" s="1"/>
  <c r="I103" i="9"/>
  <c r="J103" i="9" s="1"/>
  <c r="J102" i="9" s="1"/>
  <c r="H103" i="9"/>
  <c r="H102" i="9"/>
  <c r="G102" i="9"/>
  <c r="F102" i="9"/>
  <c r="I101" i="9"/>
  <c r="J101" i="9" s="1"/>
  <c r="J100" i="9" s="1"/>
  <c r="J99" i="9" s="1"/>
  <c r="J98" i="9" s="1"/>
  <c r="H101" i="9"/>
  <c r="H100" i="9"/>
  <c r="H99" i="9" s="1"/>
  <c r="H98" i="9" s="1"/>
  <c r="G100" i="9"/>
  <c r="F100" i="9"/>
  <c r="F99" i="9" s="1"/>
  <c r="F98" i="9" s="1"/>
  <c r="G99" i="9"/>
  <c r="G98" i="9" s="1"/>
  <c r="I96" i="9"/>
  <c r="J96" i="9" s="1"/>
  <c r="H96" i="9"/>
  <c r="H95" i="9"/>
  <c r="I95" i="9" s="1"/>
  <c r="G94" i="9"/>
  <c r="F94" i="9"/>
  <c r="H93" i="9"/>
  <c r="G93" i="9"/>
  <c r="I93" i="9" s="1"/>
  <c r="J93" i="9" s="1"/>
  <c r="H92" i="9"/>
  <c r="I92" i="9" s="1"/>
  <c r="J92" i="9" s="1"/>
  <c r="I91" i="9"/>
  <c r="J91" i="9" s="1"/>
  <c r="H91" i="9"/>
  <c r="H90" i="9"/>
  <c r="F90" i="9"/>
  <c r="F89" i="9" s="1"/>
  <c r="F88" i="9" s="1"/>
  <c r="I86" i="9"/>
  <c r="J86" i="9" s="1"/>
  <c r="H86" i="9"/>
  <c r="H85" i="9"/>
  <c r="I85" i="9" s="1"/>
  <c r="G84" i="9"/>
  <c r="G83" i="9" s="1"/>
  <c r="G82" i="9" s="1"/>
  <c r="F84" i="9"/>
  <c r="F83" i="9"/>
  <c r="F82" i="9" s="1"/>
  <c r="H80" i="9"/>
  <c r="I80" i="9" s="1"/>
  <c r="J80" i="9" s="1"/>
  <c r="I79" i="9"/>
  <c r="J79" i="9" s="1"/>
  <c r="H79" i="9"/>
  <c r="H78" i="9"/>
  <c r="I78" i="9" s="1"/>
  <c r="J78" i="9" s="1"/>
  <c r="I77" i="9"/>
  <c r="J77" i="9" s="1"/>
  <c r="J76" i="9" s="1"/>
  <c r="H77" i="9"/>
  <c r="H76" i="9"/>
  <c r="G76" i="9"/>
  <c r="F76" i="9"/>
  <c r="I75" i="9"/>
  <c r="J75" i="9" s="1"/>
  <c r="H75" i="9"/>
  <c r="H74" i="9"/>
  <c r="I74" i="9" s="1"/>
  <c r="G73" i="9"/>
  <c r="F73" i="9"/>
  <c r="H72" i="9"/>
  <c r="I72" i="9" s="1"/>
  <c r="G71" i="9"/>
  <c r="F71" i="9"/>
  <c r="H70" i="9"/>
  <c r="I70" i="9" s="1"/>
  <c r="J70" i="9" s="1"/>
  <c r="G70" i="9"/>
  <c r="H69" i="9"/>
  <c r="I69" i="9" s="1"/>
  <c r="J69" i="9" s="1"/>
  <c r="I68" i="9"/>
  <c r="J68" i="9" s="1"/>
  <c r="H68" i="9"/>
  <c r="H67" i="9"/>
  <c r="I67" i="9" s="1"/>
  <c r="G66" i="9"/>
  <c r="G65" i="9" s="1"/>
  <c r="G64" i="9" s="1"/>
  <c r="F66" i="9"/>
  <c r="F65" i="9"/>
  <c r="F64" i="9" s="1"/>
  <c r="H62" i="9"/>
  <c r="I62" i="9" s="1"/>
  <c r="J62" i="9" s="1"/>
  <c r="I61" i="9"/>
  <c r="J61" i="9" s="1"/>
  <c r="H61" i="9"/>
  <c r="H60" i="9"/>
  <c r="I60" i="9" s="1"/>
  <c r="J60" i="9" s="1"/>
  <c r="I59" i="9"/>
  <c r="J59" i="9" s="1"/>
  <c r="H59" i="9"/>
  <c r="H58" i="9"/>
  <c r="H57" i="9" s="1"/>
  <c r="H56" i="9" s="1"/>
  <c r="G58" i="9"/>
  <c r="F58" i="9"/>
  <c r="F57" i="9" s="1"/>
  <c r="F56" i="9" s="1"/>
  <c r="G57" i="9"/>
  <c r="G56" i="9" s="1"/>
  <c r="I54" i="9"/>
  <c r="J54" i="9" s="1"/>
  <c r="H54" i="9"/>
  <c r="H53" i="9"/>
  <c r="I53" i="9" s="1"/>
  <c r="G52" i="9"/>
  <c r="G51" i="9" s="1"/>
  <c r="G50" i="9" s="1"/>
  <c r="F52" i="9"/>
  <c r="F51" i="9"/>
  <c r="F50" i="9" s="1"/>
  <c r="H48" i="9"/>
  <c r="H46" i="9" s="1"/>
  <c r="H45" i="9" s="1"/>
  <c r="H44" i="9" s="1"/>
  <c r="I47" i="9"/>
  <c r="J47" i="9" s="1"/>
  <c r="H47" i="9"/>
  <c r="G46" i="9"/>
  <c r="F46" i="9"/>
  <c r="F45" i="9" s="1"/>
  <c r="F44" i="9" s="1"/>
  <c r="F43" i="9" s="1"/>
  <c r="G45" i="9"/>
  <c r="G44" i="9" s="1"/>
  <c r="H39" i="9"/>
  <c r="I39" i="9" s="1"/>
  <c r="G38" i="9"/>
  <c r="F38" i="9"/>
  <c r="H36" i="9"/>
  <c r="G36" i="9"/>
  <c r="I36" i="9" s="1"/>
  <c r="H35" i="9"/>
  <c r="G35" i="9"/>
  <c r="F35" i="9"/>
  <c r="I33" i="9"/>
  <c r="J33" i="9" s="1"/>
  <c r="J32" i="9" s="1"/>
  <c r="H33" i="9"/>
  <c r="H32" i="9"/>
  <c r="G32" i="9"/>
  <c r="F32" i="9"/>
  <c r="F31" i="9" s="1"/>
  <c r="G31" i="9"/>
  <c r="H29" i="9"/>
  <c r="I29" i="9" s="1"/>
  <c r="G28" i="9"/>
  <c r="F28" i="9"/>
  <c r="H26" i="9"/>
  <c r="I26" i="9" s="1"/>
  <c r="G25" i="9"/>
  <c r="F25" i="9"/>
  <c r="H23" i="9"/>
  <c r="I23" i="9" s="1"/>
  <c r="G22" i="9"/>
  <c r="F22" i="9"/>
  <c r="H20" i="9"/>
  <c r="I20" i="9" s="1"/>
  <c r="G19" i="9"/>
  <c r="G18" i="9" s="1"/>
  <c r="F19" i="9"/>
  <c r="F18" i="9"/>
  <c r="I16" i="9"/>
  <c r="J16" i="9" s="1"/>
  <c r="H16" i="9"/>
  <c r="H15" i="9"/>
  <c r="I15" i="9" s="1"/>
  <c r="J15" i="9" s="1"/>
  <c r="I14" i="9"/>
  <c r="J14" i="9" s="1"/>
  <c r="H14" i="9"/>
  <c r="H13" i="9"/>
  <c r="G13" i="9"/>
  <c r="F13" i="9"/>
  <c r="I11" i="9"/>
  <c r="J11" i="9" s="1"/>
  <c r="H11" i="9"/>
  <c r="H10" i="9"/>
  <c r="I10" i="9" s="1"/>
  <c r="G9" i="9"/>
  <c r="G8" i="9" s="1"/>
  <c r="F9" i="9"/>
  <c r="F8" i="9"/>
  <c r="F40" i="9" s="1"/>
  <c r="I681" i="8"/>
  <c r="F681" i="8"/>
  <c r="I678" i="8"/>
  <c r="F678" i="8"/>
  <c r="F677" i="8" s="1"/>
  <c r="H674" i="8"/>
  <c r="I674" i="8" s="1"/>
  <c r="G673" i="8"/>
  <c r="G672" i="8" s="1"/>
  <c r="G671" i="8" s="1"/>
  <c r="G670" i="8" s="1"/>
  <c r="F673" i="8"/>
  <c r="F672" i="8" s="1"/>
  <c r="F671" i="8" s="1"/>
  <c r="F670" i="8" s="1"/>
  <c r="H668" i="8"/>
  <c r="I668" i="8" s="1"/>
  <c r="G667" i="8"/>
  <c r="F667" i="8"/>
  <c r="F666" i="8" s="1"/>
  <c r="F665" i="8" s="1"/>
  <c r="F664" i="8" s="1"/>
  <c r="G666" i="8"/>
  <c r="G665" i="8" s="1"/>
  <c r="G664" i="8" s="1"/>
  <c r="H662" i="8"/>
  <c r="I662" i="8" s="1"/>
  <c r="G661" i="8"/>
  <c r="F661" i="8"/>
  <c r="G660" i="8"/>
  <c r="F660" i="8"/>
  <c r="F659" i="8" s="1"/>
  <c r="F658" i="8" s="1"/>
  <c r="F657" i="8" s="1"/>
  <c r="G659" i="8"/>
  <c r="G658" i="8" s="1"/>
  <c r="H655" i="8"/>
  <c r="I655" i="8" s="1"/>
  <c r="J655" i="8" s="1"/>
  <c r="I654" i="8"/>
  <c r="J654" i="8" s="1"/>
  <c r="J653" i="8" s="1"/>
  <c r="H654" i="8"/>
  <c r="H653" i="8"/>
  <c r="G653" i="8"/>
  <c r="F653" i="8"/>
  <c r="I652" i="8"/>
  <c r="J652" i="8" s="1"/>
  <c r="H652" i="8"/>
  <c r="H651" i="8"/>
  <c r="I651" i="8" s="1"/>
  <c r="G650" i="8"/>
  <c r="F650" i="8"/>
  <c r="H649" i="8"/>
  <c r="I649" i="8" s="1"/>
  <c r="J649" i="8" s="1"/>
  <c r="I648" i="8"/>
  <c r="J648" i="8" s="1"/>
  <c r="J647" i="8" s="1"/>
  <c r="H648" i="8"/>
  <c r="G647" i="8"/>
  <c r="F647" i="8"/>
  <c r="F646" i="8" s="1"/>
  <c r="F645" i="8" s="1"/>
  <c r="F644" i="8" s="1"/>
  <c r="G646" i="8"/>
  <c r="G645" i="8" s="1"/>
  <c r="G644" i="8" s="1"/>
  <c r="H642" i="8"/>
  <c r="I642" i="8" s="1"/>
  <c r="J642" i="8" s="1"/>
  <c r="I641" i="8"/>
  <c r="J641" i="8" s="1"/>
  <c r="J640" i="8" s="1"/>
  <c r="H641" i="8"/>
  <c r="H640" i="8"/>
  <c r="G640" i="8"/>
  <c r="F640" i="8"/>
  <c r="I639" i="8"/>
  <c r="J639" i="8" s="1"/>
  <c r="H639" i="8"/>
  <c r="H638" i="8"/>
  <c r="I638" i="8" s="1"/>
  <c r="G637" i="8"/>
  <c r="G636" i="8" s="1"/>
  <c r="G635" i="8" s="1"/>
  <c r="G634" i="8" s="1"/>
  <c r="F637" i="8"/>
  <c r="F636" i="8"/>
  <c r="F635" i="8" s="1"/>
  <c r="F634" i="8" s="1"/>
  <c r="I632" i="8"/>
  <c r="J632" i="8" s="1"/>
  <c r="H632" i="8"/>
  <c r="H631" i="8"/>
  <c r="I631" i="8" s="1"/>
  <c r="G630" i="8"/>
  <c r="F630" i="8"/>
  <c r="H629" i="8"/>
  <c r="I629" i="8" s="1"/>
  <c r="I628" i="8"/>
  <c r="J628" i="8" s="1"/>
  <c r="H628" i="8"/>
  <c r="G628" i="8"/>
  <c r="G627" i="8"/>
  <c r="G626" i="8" s="1"/>
  <c r="G625" i="8" s="1"/>
  <c r="F627" i="8"/>
  <c r="F626" i="8"/>
  <c r="F625" i="8" s="1"/>
  <c r="H623" i="8"/>
  <c r="I623" i="8" s="1"/>
  <c r="J623" i="8" s="1"/>
  <c r="I622" i="8"/>
  <c r="J622" i="8" s="1"/>
  <c r="J621" i="8" s="1"/>
  <c r="H622" i="8"/>
  <c r="G621" i="8"/>
  <c r="F621" i="8"/>
  <c r="I619" i="8"/>
  <c r="J619" i="8" s="1"/>
  <c r="H619" i="8"/>
  <c r="H618" i="8"/>
  <c r="I618" i="8" s="1"/>
  <c r="J618" i="8" s="1"/>
  <c r="I617" i="8"/>
  <c r="J617" i="8" s="1"/>
  <c r="H617" i="8"/>
  <c r="H616" i="8"/>
  <c r="G616" i="8"/>
  <c r="F616" i="8"/>
  <c r="F615" i="8" s="1"/>
  <c r="F614" i="8" s="1"/>
  <c r="G615" i="8"/>
  <c r="G614" i="8" s="1"/>
  <c r="I612" i="8"/>
  <c r="J612" i="8" s="1"/>
  <c r="H612" i="8"/>
  <c r="H611" i="8"/>
  <c r="I611" i="8" s="1"/>
  <c r="G610" i="8"/>
  <c r="F610" i="8"/>
  <c r="H609" i="8"/>
  <c r="I609" i="8" s="1"/>
  <c r="J609" i="8" s="1"/>
  <c r="I608" i="8"/>
  <c r="J608" i="8" s="1"/>
  <c r="J607" i="8" s="1"/>
  <c r="H608" i="8"/>
  <c r="H607" i="8"/>
  <c r="G607" i="8"/>
  <c r="F607" i="8"/>
  <c r="I606" i="8"/>
  <c r="J606" i="8" s="1"/>
  <c r="H606" i="8"/>
  <c r="H605" i="8"/>
  <c r="I605" i="8" s="1"/>
  <c r="G604" i="8"/>
  <c r="G603" i="8" s="1"/>
  <c r="G602" i="8" s="1"/>
  <c r="F604" i="8"/>
  <c r="F603" i="8"/>
  <c r="F602" i="8" s="1"/>
  <c r="I599" i="8"/>
  <c r="J599" i="8" s="1"/>
  <c r="H599" i="8"/>
  <c r="H598" i="8"/>
  <c r="I598" i="8" s="1"/>
  <c r="G597" i="8"/>
  <c r="F597" i="8"/>
  <c r="H596" i="8"/>
  <c r="I596" i="8" s="1"/>
  <c r="J596" i="8" s="1"/>
  <c r="I595" i="8"/>
  <c r="J595" i="8" s="1"/>
  <c r="J594" i="8" s="1"/>
  <c r="H595" i="8"/>
  <c r="H594" i="8"/>
  <c r="G594" i="8"/>
  <c r="F594" i="8"/>
  <c r="F593" i="8" s="1"/>
  <c r="F592" i="8" s="1"/>
  <c r="F591" i="8" s="1"/>
  <c r="G593" i="8"/>
  <c r="G592" i="8" s="1"/>
  <c r="G591" i="8" s="1"/>
  <c r="H589" i="8"/>
  <c r="I589" i="8" s="1"/>
  <c r="J589" i="8" s="1"/>
  <c r="I588" i="8"/>
  <c r="J588" i="8" s="1"/>
  <c r="J587" i="8" s="1"/>
  <c r="H588" i="8"/>
  <c r="G587" i="8"/>
  <c r="F587" i="8"/>
  <c r="I586" i="8"/>
  <c r="J586" i="8" s="1"/>
  <c r="H586" i="8"/>
  <c r="H585" i="8"/>
  <c r="I585" i="8" s="1"/>
  <c r="J585" i="8" s="1"/>
  <c r="I584" i="8"/>
  <c r="J584" i="8" s="1"/>
  <c r="H584" i="8"/>
  <c r="H583" i="8"/>
  <c r="I583" i="8" s="1"/>
  <c r="G582" i="8"/>
  <c r="G581" i="8" s="1"/>
  <c r="F582" i="8"/>
  <c r="F581" i="8"/>
  <c r="F580" i="8" s="1"/>
  <c r="G580" i="8"/>
  <c r="H578" i="8"/>
  <c r="G577" i="8"/>
  <c r="F577" i="8"/>
  <c r="H576" i="8"/>
  <c r="G575" i="8"/>
  <c r="G571" i="8" s="1"/>
  <c r="G570" i="8" s="1"/>
  <c r="G569" i="8" s="1"/>
  <c r="F575" i="8"/>
  <c r="H574" i="8"/>
  <c r="I574" i="8" s="1"/>
  <c r="J574" i="8" s="1"/>
  <c r="I573" i="8"/>
  <c r="H573" i="8"/>
  <c r="H572" i="8"/>
  <c r="G572" i="8"/>
  <c r="F572" i="8"/>
  <c r="F571" i="8" s="1"/>
  <c r="F570" i="8" s="1"/>
  <c r="F569" i="8" s="1"/>
  <c r="I566" i="8"/>
  <c r="J566" i="8" s="1"/>
  <c r="H566" i="8"/>
  <c r="H565" i="8"/>
  <c r="I565" i="8" s="1"/>
  <c r="J565" i="8" s="1"/>
  <c r="I564" i="8"/>
  <c r="H564" i="8"/>
  <c r="H563" i="8"/>
  <c r="G563" i="8"/>
  <c r="F563" i="8"/>
  <c r="F562" i="8" s="1"/>
  <c r="H562" i="8"/>
  <c r="G562" i="8"/>
  <c r="H561" i="8"/>
  <c r="G561" i="8"/>
  <c r="F561" i="8"/>
  <c r="H559" i="8"/>
  <c r="I559" i="8" s="1"/>
  <c r="J559" i="8" s="1"/>
  <c r="H558" i="8"/>
  <c r="I558" i="8" s="1"/>
  <c r="J558" i="8" s="1"/>
  <c r="I557" i="8"/>
  <c r="H557" i="8"/>
  <c r="H556" i="8"/>
  <c r="H555" i="8" s="1"/>
  <c r="H554" i="8" s="1"/>
  <c r="G556" i="8"/>
  <c r="F556" i="8"/>
  <c r="G555" i="8"/>
  <c r="F555" i="8"/>
  <c r="G554" i="8"/>
  <c r="F554" i="8"/>
  <c r="H552" i="8"/>
  <c r="I552" i="8" s="1"/>
  <c r="G551" i="8"/>
  <c r="F551" i="8"/>
  <c r="H550" i="8"/>
  <c r="I550" i="8" s="1"/>
  <c r="J550" i="8" s="1"/>
  <c r="J549" i="8"/>
  <c r="H549" i="8"/>
  <c r="I549" i="8" s="1"/>
  <c r="G548" i="8"/>
  <c r="F548" i="8"/>
  <c r="G547" i="8"/>
  <c r="F547" i="8"/>
  <c r="F546" i="8" s="1"/>
  <c r="G546" i="8"/>
  <c r="H544" i="8"/>
  <c r="I544" i="8" s="1"/>
  <c r="J544" i="8" s="1"/>
  <c r="H543" i="8"/>
  <c r="I543" i="8" s="1"/>
  <c r="G542" i="8"/>
  <c r="F542" i="8"/>
  <c r="F541" i="8" s="1"/>
  <c r="F540" i="8" s="1"/>
  <c r="G541" i="8"/>
  <c r="G540" i="8" s="1"/>
  <c r="I538" i="8"/>
  <c r="H538" i="8"/>
  <c r="H537" i="8"/>
  <c r="G537" i="8"/>
  <c r="F537" i="8"/>
  <c r="I536" i="8"/>
  <c r="J536" i="8" s="1"/>
  <c r="H536" i="8"/>
  <c r="H535" i="8"/>
  <c r="G534" i="8"/>
  <c r="G533" i="8" s="1"/>
  <c r="G532" i="8" s="1"/>
  <c r="F534" i="8"/>
  <c r="F533" i="8"/>
  <c r="F532" i="8"/>
  <c r="H530" i="8"/>
  <c r="I530" i="8" s="1"/>
  <c r="I529" i="8" s="1"/>
  <c r="H529" i="8"/>
  <c r="G529" i="8"/>
  <c r="F529" i="8"/>
  <c r="J528" i="8"/>
  <c r="I528" i="8"/>
  <c r="H528" i="8"/>
  <c r="I527" i="8"/>
  <c r="J527" i="8" s="1"/>
  <c r="H527" i="8"/>
  <c r="H526" i="8"/>
  <c r="G525" i="8"/>
  <c r="G524" i="8" s="1"/>
  <c r="G523" i="8" s="1"/>
  <c r="F525" i="8"/>
  <c r="F524" i="8" s="1"/>
  <c r="F523" i="8" s="1"/>
  <c r="J521" i="8"/>
  <c r="J520" i="8" s="1"/>
  <c r="I521" i="8"/>
  <c r="H521" i="8"/>
  <c r="I520" i="8"/>
  <c r="H520" i="8"/>
  <c r="G520" i="8"/>
  <c r="F520" i="8"/>
  <c r="J519" i="8"/>
  <c r="J518" i="8" s="1"/>
  <c r="I519" i="8"/>
  <c r="H519" i="8"/>
  <c r="I518" i="8"/>
  <c r="I517" i="8" s="1"/>
  <c r="I516" i="8" s="1"/>
  <c r="H518" i="8"/>
  <c r="H517" i="8" s="1"/>
  <c r="H516" i="8" s="1"/>
  <c r="G518" i="8"/>
  <c r="F518" i="8"/>
  <c r="J517" i="8"/>
  <c r="J516" i="8" s="1"/>
  <c r="G517" i="8"/>
  <c r="F517" i="8"/>
  <c r="F516" i="8" s="1"/>
  <c r="G516" i="8"/>
  <c r="H514" i="8"/>
  <c r="G513" i="8"/>
  <c r="F513" i="8"/>
  <c r="H512" i="8"/>
  <c r="I512" i="8" s="1"/>
  <c r="J512" i="8" s="1"/>
  <c r="H511" i="8"/>
  <c r="I511" i="8" s="1"/>
  <c r="G510" i="8"/>
  <c r="F510" i="8"/>
  <c r="F509" i="8" s="1"/>
  <c r="F508" i="8" s="1"/>
  <c r="F507" i="8" s="1"/>
  <c r="G509" i="8"/>
  <c r="G508" i="8" s="1"/>
  <c r="J505" i="8"/>
  <c r="H505" i="8"/>
  <c r="I505" i="8" s="1"/>
  <c r="I504" i="8"/>
  <c r="J504" i="8" s="1"/>
  <c r="H504" i="8"/>
  <c r="H503" i="8"/>
  <c r="G502" i="8"/>
  <c r="G501" i="8" s="1"/>
  <c r="G500" i="8" s="1"/>
  <c r="G491" i="8" s="1"/>
  <c r="F502" i="8"/>
  <c r="F501" i="8"/>
  <c r="F500" i="8"/>
  <c r="H498" i="8"/>
  <c r="I498" i="8" s="1"/>
  <c r="I497" i="8" s="1"/>
  <c r="H497" i="8"/>
  <c r="G497" i="8"/>
  <c r="F497" i="8"/>
  <c r="J496" i="8"/>
  <c r="H496" i="8"/>
  <c r="I496" i="8" s="1"/>
  <c r="I495" i="8"/>
  <c r="H495" i="8"/>
  <c r="H494" i="8"/>
  <c r="H493" i="8" s="1"/>
  <c r="H492" i="8" s="1"/>
  <c r="G494" i="8"/>
  <c r="F494" i="8"/>
  <c r="G493" i="8"/>
  <c r="F493" i="8"/>
  <c r="G492" i="8"/>
  <c r="F492" i="8"/>
  <c r="F491" i="8" s="1"/>
  <c r="H489" i="8"/>
  <c r="G488" i="8"/>
  <c r="F488" i="8"/>
  <c r="H487" i="8"/>
  <c r="G486" i="8"/>
  <c r="F486" i="8"/>
  <c r="H485" i="8"/>
  <c r="G484" i="8"/>
  <c r="F484" i="8"/>
  <c r="F483" i="8"/>
  <c r="F482" i="8"/>
  <c r="J480" i="8"/>
  <c r="H480" i="8"/>
  <c r="I480" i="8" s="1"/>
  <c r="I479" i="8"/>
  <c r="H479" i="8"/>
  <c r="H478" i="8"/>
  <c r="G478" i="8"/>
  <c r="F478" i="8"/>
  <c r="I477" i="8"/>
  <c r="H477" i="8"/>
  <c r="H476" i="8"/>
  <c r="G476" i="8"/>
  <c r="F476" i="8"/>
  <c r="I475" i="8"/>
  <c r="J475" i="8" s="1"/>
  <c r="H475" i="8"/>
  <c r="H474" i="8"/>
  <c r="G473" i="8"/>
  <c r="G472" i="8" s="1"/>
  <c r="G471" i="8" s="1"/>
  <c r="F473" i="8"/>
  <c r="F472" i="8"/>
  <c r="F471" i="8"/>
  <c r="F470" i="8"/>
  <c r="H468" i="8"/>
  <c r="I468" i="8" s="1"/>
  <c r="G467" i="8"/>
  <c r="F467" i="8"/>
  <c r="H466" i="8"/>
  <c r="I466" i="8" s="1"/>
  <c r="G465" i="8"/>
  <c r="F465" i="8"/>
  <c r="F464" i="8" s="1"/>
  <c r="F463" i="8" s="1"/>
  <c r="F462" i="8" s="1"/>
  <c r="G464" i="8"/>
  <c r="G463" i="8" s="1"/>
  <c r="G462" i="8" s="1"/>
  <c r="H459" i="8"/>
  <c r="G458" i="8"/>
  <c r="F458" i="8"/>
  <c r="F457" i="8" s="1"/>
  <c r="F456" i="8" s="1"/>
  <c r="G457" i="8"/>
  <c r="G456" i="8" s="1"/>
  <c r="G455" i="8" s="1"/>
  <c r="F455" i="8"/>
  <c r="H453" i="8"/>
  <c r="I453" i="8" s="1"/>
  <c r="G452" i="8"/>
  <c r="F452" i="8"/>
  <c r="H451" i="8"/>
  <c r="I451" i="8" s="1"/>
  <c r="G450" i="8"/>
  <c r="F450" i="8"/>
  <c r="H449" i="8"/>
  <c r="H446" i="8" s="1"/>
  <c r="J448" i="8"/>
  <c r="I448" i="8"/>
  <c r="H448" i="8"/>
  <c r="J447" i="8"/>
  <c r="I447" i="8"/>
  <c r="H447" i="8"/>
  <c r="G446" i="8"/>
  <c r="G445" i="8" s="1"/>
  <c r="G444" i="8" s="1"/>
  <c r="F446" i="8"/>
  <c r="F445" i="8"/>
  <c r="F444" i="8" s="1"/>
  <c r="H442" i="8"/>
  <c r="G442" i="8"/>
  <c r="I442" i="8" s="1"/>
  <c r="H441" i="8"/>
  <c r="G441" i="8"/>
  <c r="F441" i="8"/>
  <c r="I440" i="8"/>
  <c r="J440" i="8" s="1"/>
  <c r="J439" i="8" s="1"/>
  <c r="H440" i="8"/>
  <c r="H439" i="8"/>
  <c r="G439" i="8"/>
  <c r="F439" i="8"/>
  <c r="I438" i="8"/>
  <c r="J438" i="8" s="1"/>
  <c r="H438" i="8"/>
  <c r="H437" i="8"/>
  <c r="J436" i="8"/>
  <c r="I436" i="8"/>
  <c r="H436" i="8"/>
  <c r="G435" i="8"/>
  <c r="F435" i="8"/>
  <c r="F434" i="8" s="1"/>
  <c r="F433" i="8" s="1"/>
  <c r="F432" i="8" s="1"/>
  <c r="G434" i="8"/>
  <c r="G433" i="8" s="1"/>
  <c r="J430" i="8"/>
  <c r="I430" i="8"/>
  <c r="H430" i="8"/>
  <c r="G430" i="8"/>
  <c r="J429" i="8"/>
  <c r="I429" i="8"/>
  <c r="H429" i="8"/>
  <c r="I428" i="8"/>
  <c r="H428" i="8"/>
  <c r="H427" i="8"/>
  <c r="H426" i="8" s="1"/>
  <c r="G427" i="8"/>
  <c r="G426" i="8" s="1"/>
  <c r="F427" i="8"/>
  <c r="F426" i="8" s="1"/>
  <c r="J425" i="8"/>
  <c r="I425" i="8"/>
  <c r="H425" i="8"/>
  <c r="I424" i="8"/>
  <c r="J424" i="8" s="1"/>
  <c r="H424" i="8"/>
  <c r="H423" i="8"/>
  <c r="G422" i="8"/>
  <c r="G421" i="8" s="1"/>
  <c r="F422" i="8"/>
  <c r="F421" i="8" s="1"/>
  <c r="F420" i="8" s="1"/>
  <c r="J418" i="8"/>
  <c r="I418" i="8"/>
  <c r="H418" i="8"/>
  <c r="I417" i="8"/>
  <c r="H417" i="8"/>
  <c r="H416" i="8"/>
  <c r="H415" i="8" s="1"/>
  <c r="G416" i="8"/>
  <c r="G415" i="8" s="1"/>
  <c r="F416" i="8"/>
  <c r="F415" i="8" s="1"/>
  <c r="J414" i="8"/>
  <c r="I414" i="8"/>
  <c r="H414" i="8"/>
  <c r="I413" i="8"/>
  <c r="H413" i="8"/>
  <c r="H412" i="8"/>
  <c r="H411" i="8" s="1"/>
  <c r="G412" i="8"/>
  <c r="G411" i="8" s="1"/>
  <c r="G410" i="8" s="1"/>
  <c r="F412" i="8"/>
  <c r="F411" i="8" s="1"/>
  <c r="F410" i="8"/>
  <c r="J408" i="8"/>
  <c r="I408" i="8"/>
  <c r="H408" i="8"/>
  <c r="J407" i="8"/>
  <c r="J406" i="8" s="1"/>
  <c r="J405" i="8" s="1"/>
  <c r="I407" i="8"/>
  <c r="H407" i="8"/>
  <c r="I406" i="8"/>
  <c r="I405" i="8" s="1"/>
  <c r="H406" i="8"/>
  <c r="H405" i="8" s="1"/>
  <c r="G406" i="8"/>
  <c r="G405" i="8" s="1"/>
  <c r="F406" i="8"/>
  <c r="F405" i="8"/>
  <c r="J404" i="8"/>
  <c r="I404" i="8"/>
  <c r="H404" i="8"/>
  <c r="J403" i="8"/>
  <c r="I403" i="8"/>
  <c r="H403" i="8"/>
  <c r="I402" i="8"/>
  <c r="J402" i="8" s="1"/>
  <c r="H402" i="8"/>
  <c r="H401" i="8"/>
  <c r="G400" i="8"/>
  <c r="G399" i="8" s="1"/>
  <c r="F400" i="8"/>
  <c r="F399" i="8" s="1"/>
  <c r="J396" i="8"/>
  <c r="I396" i="8"/>
  <c r="H396" i="8"/>
  <c r="I395" i="8"/>
  <c r="J395" i="8" s="1"/>
  <c r="H395" i="8"/>
  <c r="H394" i="8"/>
  <c r="G393" i="8"/>
  <c r="G392" i="8" s="1"/>
  <c r="G385" i="8" s="1"/>
  <c r="F393" i="8"/>
  <c r="F392" i="8" s="1"/>
  <c r="I391" i="8"/>
  <c r="J391" i="8" s="1"/>
  <c r="H391" i="8"/>
  <c r="H390" i="8"/>
  <c r="I390" i="8" s="1"/>
  <c r="J390" i="8" s="1"/>
  <c r="H389" i="8"/>
  <c r="I389" i="8" s="1"/>
  <c r="J389" i="8" s="1"/>
  <c r="I388" i="8"/>
  <c r="J388" i="8" s="1"/>
  <c r="J387" i="8" s="1"/>
  <c r="J386" i="8" s="1"/>
  <c r="H388" i="8"/>
  <c r="G387" i="8"/>
  <c r="F387" i="8"/>
  <c r="G386" i="8"/>
  <c r="F386" i="8"/>
  <c r="F385" i="8"/>
  <c r="H383" i="8"/>
  <c r="I383" i="8" s="1"/>
  <c r="J383" i="8" s="1"/>
  <c r="J382" i="8"/>
  <c r="I382" i="8"/>
  <c r="H382" i="8"/>
  <c r="J381" i="8"/>
  <c r="I381" i="8"/>
  <c r="H381" i="8"/>
  <c r="H380" i="8"/>
  <c r="I380" i="8" s="1"/>
  <c r="G379" i="8"/>
  <c r="G378" i="8" s="1"/>
  <c r="F379" i="8"/>
  <c r="F378" i="8" s="1"/>
  <c r="I377" i="8"/>
  <c r="J377" i="8" s="1"/>
  <c r="H377" i="8"/>
  <c r="I376" i="8"/>
  <c r="J376" i="8" s="1"/>
  <c r="H376" i="8"/>
  <c r="H375" i="8"/>
  <c r="J374" i="8"/>
  <c r="I374" i="8"/>
  <c r="H374" i="8"/>
  <c r="G373" i="8"/>
  <c r="F373" i="8"/>
  <c r="G372" i="8"/>
  <c r="F372" i="8"/>
  <c r="G371" i="8"/>
  <c r="I368" i="8"/>
  <c r="J368" i="8" s="1"/>
  <c r="H368" i="8"/>
  <c r="I367" i="8"/>
  <c r="H367" i="8"/>
  <c r="H366" i="8"/>
  <c r="G366" i="8"/>
  <c r="G362" i="8" s="1"/>
  <c r="G361" i="8" s="1"/>
  <c r="F366" i="8"/>
  <c r="H365" i="8"/>
  <c r="I365" i="8" s="1"/>
  <c r="J365" i="8" s="1"/>
  <c r="H364" i="8"/>
  <c r="G363" i="8"/>
  <c r="F363" i="8"/>
  <c r="F362" i="8" s="1"/>
  <c r="F361" i="8" s="1"/>
  <c r="J359" i="8"/>
  <c r="J358" i="8" s="1"/>
  <c r="I359" i="8"/>
  <c r="H359" i="8"/>
  <c r="I358" i="8"/>
  <c r="H358" i="8"/>
  <c r="G358" i="8"/>
  <c r="F358" i="8"/>
  <c r="J357" i="8"/>
  <c r="I357" i="8"/>
  <c r="H357" i="8"/>
  <c r="H356" i="8"/>
  <c r="I356" i="8" s="1"/>
  <c r="J356" i="8" s="1"/>
  <c r="H355" i="8"/>
  <c r="G354" i="8"/>
  <c r="F354" i="8"/>
  <c r="F353" i="8" s="1"/>
  <c r="F352" i="8" s="1"/>
  <c r="G353" i="8"/>
  <c r="G352" i="8" s="1"/>
  <c r="J350" i="8"/>
  <c r="J349" i="8" s="1"/>
  <c r="I350" i="8"/>
  <c r="H350" i="8"/>
  <c r="I349" i="8"/>
  <c r="I348" i="8" s="1"/>
  <c r="I347" i="8" s="1"/>
  <c r="H349" i="8"/>
  <c r="H348" i="8" s="1"/>
  <c r="H347" i="8" s="1"/>
  <c r="G349" i="8"/>
  <c r="F349" i="8"/>
  <c r="J348" i="8"/>
  <c r="G348" i="8"/>
  <c r="F348" i="8"/>
  <c r="J347" i="8"/>
  <c r="G347" i="8"/>
  <c r="F347" i="8"/>
  <c r="H345" i="8"/>
  <c r="G344" i="8"/>
  <c r="F344" i="8"/>
  <c r="H343" i="8"/>
  <c r="G342" i="8"/>
  <c r="F342" i="8"/>
  <c r="F341" i="8" s="1"/>
  <c r="G341" i="8"/>
  <c r="G340" i="8" s="1"/>
  <c r="F340" i="8"/>
  <c r="J338" i="8"/>
  <c r="I338" i="8"/>
  <c r="H338" i="8"/>
  <c r="J337" i="8"/>
  <c r="I337" i="8"/>
  <c r="H337" i="8"/>
  <c r="G337" i="8"/>
  <c r="F337" i="8"/>
  <c r="J336" i="8"/>
  <c r="I336" i="8"/>
  <c r="H336" i="8"/>
  <c r="I335" i="8"/>
  <c r="J335" i="8" s="1"/>
  <c r="H335" i="8"/>
  <c r="H334" i="8"/>
  <c r="I334" i="8" s="1"/>
  <c r="H333" i="8"/>
  <c r="G333" i="8"/>
  <c r="G332" i="8" s="1"/>
  <c r="G331" i="8" s="1"/>
  <c r="F333" i="8"/>
  <c r="F332" i="8" s="1"/>
  <c r="F331" i="8" s="1"/>
  <c r="H332" i="8"/>
  <c r="H331" i="8" s="1"/>
  <c r="J329" i="8"/>
  <c r="J328" i="8" s="1"/>
  <c r="J327" i="8" s="1"/>
  <c r="J326" i="8" s="1"/>
  <c r="I329" i="8"/>
  <c r="H329" i="8"/>
  <c r="I328" i="8"/>
  <c r="I327" i="8" s="1"/>
  <c r="I326" i="8" s="1"/>
  <c r="H328" i="8"/>
  <c r="H327" i="8" s="1"/>
  <c r="H326" i="8" s="1"/>
  <c r="G328" i="8"/>
  <c r="F328" i="8"/>
  <c r="G327" i="8"/>
  <c r="F327" i="8"/>
  <c r="F326" i="8" s="1"/>
  <c r="G326" i="8"/>
  <c r="H324" i="8"/>
  <c r="I324" i="8" s="1"/>
  <c r="J324" i="8" s="1"/>
  <c r="H323" i="8"/>
  <c r="I323" i="8" s="1"/>
  <c r="G322" i="8"/>
  <c r="F322" i="8"/>
  <c r="H321" i="8"/>
  <c r="I321" i="8" s="1"/>
  <c r="G320" i="8"/>
  <c r="F320" i="8"/>
  <c r="F319" i="8" s="1"/>
  <c r="F318" i="8" s="1"/>
  <c r="G319" i="8"/>
  <c r="G318" i="8" s="1"/>
  <c r="I316" i="8"/>
  <c r="J316" i="8" s="1"/>
  <c r="J315" i="8" s="1"/>
  <c r="J314" i="8" s="1"/>
  <c r="H316" i="8"/>
  <c r="I315" i="8"/>
  <c r="H315" i="8"/>
  <c r="H314" i="8" s="1"/>
  <c r="G315" i="8"/>
  <c r="G314" i="8" s="1"/>
  <c r="F315" i="8"/>
  <c r="I314" i="8"/>
  <c r="F314" i="8"/>
  <c r="J313" i="8"/>
  <c r="I313" i="8"/>
  <c r="H313" i="8"/>
  <c r="I312" i="8"/>
  <c r="J312" i="8" s="1"/>
  <c r="J311" i="8" s="1"/>
  <c r="H312" i="8"/>
  <c r="H311" i="8"/>
  <c r="G311" i="8"/>
  <c r="F311" i="8"/>
  <c r="I310" i="8"/>
  <c r="J310" i="8" s="1"/>
  <c r="H310" i="8"/>
  <c r="G310" i="8"/>
  <c r="I309" i="8"/>
  <c r="J309" i="8" s="1"/>
  <c r="H309" i="8"/>
  <c r="H308" i="8"/>
  <c r="I308" i="8" s="1"/>
  <c r="H307" i="8"/>
  <c r="G307" i="8"/>
  <c r="G306" i="8" s="1"/>
  <c r="G305" i="8" s="1"/>
  <c r="F307" i="8"/>
  <c r="F306" i="8" s="1"/>
  <c r="F305" i="8" s="1"/>
  <c r="H306" i="8"/>
  <c r="J303" i="8"/>
  <c r="I303" i="8"/>
  <c r="H303" i="8"/>
  <c r="I302" i="8"/>
  <c r="J302" i="8" s="1"/>
  <c r="J301" i="8" s="1"/>
  <c r="H302" i="8"/>
  <c r="H301" i="8"/>
  <c r="G301" i="8"/>
  <c r="F301" i="8"/>
  <c r="I300" i="8"/>
  <c r="J300" i="8" s="1"/>
  <c r="H300" i="8"/>
  <c r="H299" i="8"/>
  <c r="I299" i="8" s="1"/>
  <c r="G298" i="8"/>
  <c r="G297" i="8" s="1"/>
  <c r="G296" i="8" s="1"/>
  <c r="F298" i="8"/>
  <c r="F297" i="8" s="1"/>
  <c r="F296" i="8" s="1"/>
  <c r="J294" i="8"/>
  <c r="J293" i="8" s="1"/>
  <c r="I294" i="8"/>
  <c r="H294" i="8"/>
  <c r="I293" i="8"/>
  <c r="H293" i="8"/>
  <c r="G293" i="8"/>
  <c r="F293" i="8"/>
  <c r="J292" i="8"/>
  <c r="I292" i="8"/>
  <c r="H292" i="8"/>
  <c r="I291" i="8"/>
  <c r="J291" i="8" s="1"/>
  <c r="H291" i="8"/>
  <c r="H290" i="8"/>
  <c r="I290" i="8" s="1"/>
  <c r="G289" i="8"/>
  <c r="F289" i="8"/>
  <c r="H288" i="8"/>
  <c r="I288" i="8" s="1"/>
  <c r="J288" i="8" s="1"/>
  <c r="H287" i="8"/>
  <c r="I287" i="8" s="1"/>
  <c r="J286" i="8"/>
  <c r="I286" i="8"/>
  <c r="H286" i="8"/>
  <c r="G285" i="8"/>
  <c r="F285" i="8"/>
  <c r="G284" i="8"/>
  <c r="F284" i="8"/>
  <c r="F283" i="8" s="1"/>
  <c r="F282" i="8" s="1"/>
  <c r="G283" i="8"/>
  <c r="G282" i="8" s="1"/>
  <c r="I280" i="8"/>
  <c r="J280" i="8" s="1"/>
  <c r="H280" i="8"/>
  <c r="G280" i="8"/>
  <c r="I279" i="8"/>
  <c r="J279" i="8" s="1"/>
  <c r="H279" i="8"/>
  <c r="H278" i="8"/>
  <c r="I278" i="8" s="1"/>
  <c r="H277" i="8"/>
  <c r="G277" i="8"/>
  <c r="G276" i="8" s="1"/>
  <c r="G269" i="8" s="1"/>
  <c r="F277" i="8"/>
  <c r="F276" i="8" s="1"/>
  <c r="H276" i="8"/>
  <c r="I275" i="8"/>
  <c r="J275" i="8" s="1"/>
  <c r="H275" i="8"/>
  <c r="H274" i="8"/>
  <c r="I274" i="8" s="1"/>
  <c r="J274" i="8" s="1"/>
  <c r="H273" i="8"/>
  <c r="I273" i="8" s="1"/>
  <c r="J272" i="8"/>
  <c r="I272" i="8"/>
  <c r="H272" i="8"/>
  <c r="G271" i="8"/>
  <c r="F271" i="8"/>
  <c r="G270" i="8"/>
  <c r="F270" i="8"/>
  <c r="F269" i="8" s="1"/>
  <c r="H267" i="8"/>
  <c r="I267" i="8" s="1"/>
  <c r="G266" i="8"/>
  <c r="F266" i="8"/>
  <c r="H265" i="8"/>
  <c r="I265" i="8" s="1"/>
  <c r="G264" i="8"/>
  <c r="F264" i="8"/>
  <c r="H263" i="8"/>
  <c r="I263" i="8" s="1"/>
  <c r="J263" i="8" s="1"/>
  <c r="H262" i="8"/>
  <c r="I262" i="8" s="1"/>
  <c r="G261" i="8"/>
  <c r="F261" i="8"/>
  <c r="F260" i="8" s="1"/>
  <c r="F259" i="8" s="1"/>
  <c r="G260" i="8"/>
  <c r="G259" i="8" s="1"/>
  <c r="I257" i="8"/>
  <c r="J257" i="8" s="1"/>
  <c r="J256" i="8" s="1"/>
  <c r="H257" i="8"/>
  <c r="H256" i="8"/>
  <c r="G256" i="8"/>
  <c r="F256" i="8"/>
  <c r="I255" i="8"/>
  <c r="J255" i="8" s="1"/>
  <c r="H255" i="8"/>
  <c r="H254" i="8"/>
  <c r="I254" i="8" s="1"/>
  <c r="J254" i="8" s="1"/>
  <c r="H253" i="8"/>
  <c r="I253" i="8" s="1"/>
  <c r="G252" i="8"/>
  <c r="F252" i="8"/>
  <c r="H251" i="8"/>
  <c r="I251" i="8" s="1"/>
  <c r="J251" i="8" s="1"/>
  <c r="H250" i="8"/>
  <c r="I250" i="8" s="1"/>
  <c r="G249" i="8"/>
  <c r="F249" i="8"/>
  <c r="G248" i="8"/>
  <c r="F248" i="8"/>
  <c r="F247" i="8" s="1"/>
  <c r="G247" i="8"/>
  <c r="J243" i="8"/>
  <c r="H243" i="8"/>
  <c r="I243" i="8" s="1"/>
  <c r="J242" i="8"/>
  <c r="I242" i="8"/>
  <c r="G242" i="8"/>
  <c r="F242" i="8"/>
  <c r="H241" i="8"/>
  <c r="I241" i="8" s="1"/>
  <c r="I240" i="8" s="1"/>
  <c r="G240" i="8"/>
  <c r="F240" i="8"/>
  <c r="F237" i="8" s="1"/>
  <c r="F236" i="8" s="1"/>
  <c r="J239" i="8"/>
  <c r="J238" i="8" s="1"/>
  <c r="H239" i="8"/>
  <c r="I239" i="8" s="1"/>
  <c r="I238" i="8"/>
  <c r="G238" i="8"/>
  <c r="F238" i="8"/>
  <c r="G237" i="8"/>
  <c r="G236" i="8" s="1"/>
  <c r="I234" i="8"/>
  <c r="H234" i="8"/>
  <c r="H233" i="8" s="1"/>
  <c r="G233" i="8"/>
  <c r="F233" i="8"/>
  <c r="I232" i="8"/>
  <c r="J232" i="8" s="1"/>
  <c r="H232" i="8"/>
  <c r="H231" i="8"/>
  <c r="G230" i="8"/>
  <c r="F230" i="8"/>
  <c r="H229" i="8"/>
  <c r="G228" i="8"/>
  <c r="F228" i="8"/>
  <c r="H227" i="8"/>
  <c r="J226" i="8"/>
  <c r="H226" i="8"/>
  <c r="I226" i="8" s="1"/>
  <c r="G225" i="8"/>
  <c r="F225" i="8"/>
  <c r="H224" i="8"/>
  <c r="G224" i="8"/>
  <c r="I224" i="8" s="1"/>
  <c r="J224" i="8" s="1"/>
  <c r="H223" i="8"/>
  <c r="H221" i="8" s="1"/>
  <c r="H222" i="8"/>
  <c r="I222" i="8" s="1"/>
  <c r="F221" i="8"/>
  <c r="J216" i="8"/>
  <c r="J215" i="8" s="1"/>
  <c r="J214" i="8" s="1"/>
  <c r="J213" i="8" s="1"/>
  <c r="I216" i="8"/>
  <c r="H216" i="8"/>
  <c r="I215" i="8"/>
  <c r="I214" i="8" s="1"/>
  <c r="I213" i="8" s="1"/>
  <c r="H215" i="8"/>
  <c r="H214" i="8" s="1"/>
  <c r="H213" i="8" s="1"/>
  <c r="G215" i="8"/>
  <c r="F215" i="8"/>
  <c r="G214" i="8"/>
  <c r="F214" i="8"/>
  <c r="F213" i="8" s="1"/>
  <c r="G213" i="8"/>
  <c r="H211" i="8"/>
  <c r="I211" i="8" s="1"/>
  <c r="G210" i="8"/>
  <c r="F210" i="8"/>
  <c r="H209" i="8"/>
  <c r="H207" i="8" s="1"/>
  <c r="J208" i="8"/>
  <c r="I208" i="8"/>
  <c r="H208" i="8"/>
  <c r="G207" i="8"/>
  <c r="F207" i="8"/>
  <c r="F202" i="8" s="1"/>
  <c r="F201" i="8" s="1"/>
  <c r="J206" i="8"/>
  <c r="I206" i="8"/>
  <c r="H206" i="8"/>
  <c r="J205" i="8"/>
  <c r="I205" i="8"/>
  <c r="H205" i="8"/>
  <c r="I204" i="8"/>
  <c r="J204" i="8" s="1"/>
  <c r="J203" i="8" s="1"/>
  <c r="H204" i="8"/>
  <c r="H203" i="8"/>
  <c r="G203" i="8"/>
  <c r="G202" i="8" s="1"/>
  <c r="G201" i="8" s="1"/>
  <c r="F203" i="8"/>
  <c r="H199" i="8"/>
  <c r="I199" i="8" s="1"/>
  <c r="J198" i="8"/>
  <c r="I198" i="8"/>
  <c r="H198" i="8"/>
  <c r="H197" i="8"/>
  <c r="H196" i="8" s="1"/>
  <c r="H195" i="8" s="1"/>
  <c r="G197" i="8"/>
  <c r="F197" i="8"/>
  <c r="G196" i="8"/>
  <c r="F196" i="8"/>
  <c r="F195" i="8" s="1"/>
  <c r="G195" i="8"/>
  <c r="H193" i="8"/>
  <c r="G193" i="8"/>
  <c r="I193" i="8" s="1"/>
  <c r="H192" i="8"/>
  <c r="H191" i="8" s="1"/>
  <c r="G192" i="8"/>
  <c r="G191" i="8" s="1"/>
  <c r="G187" i="8" s="1"/>
  <c r="F192" i="8"/>
  <c r="F191" i="8"/>
  <c r="J190" i="8"/>
  <c r="J189" i="8" s="1"/>
  <c r="J188" i="8" s="1"/>
  <c r="I190" i="8"/>
  <c r="H190" i="8"/>
  <c r="I189" i="8"/>
  <c r="I188" i="8" s="1"/>
  <c r="H189" i="8"/>
  <c r="H188" i="8" s="1"/>
  <c r="H187" i="8" s="1"/>
  <c r="G189" i="8"/>
  <c r="F189" i="8"/>
  <c r="G188" i="8"/>
  <c r="F188" i="8"/>
  <c r="F187" i="8" s="1"/>
  <c r="H185" i="8"/>
  <c r="I185" i="8" s="1"/>
  <c r="J185" i="8" s="1"/>
  <c r="H184" i="8"/>
  <c r="I184" i="8" s="1"/>
  <c r="G183" i="8"/>
  <c r="F183" i="8"/>
  <c r="F182" i="8" s="1"/>
  <c r="F181" i="8" s="1"/>
  <c r="G182" i="8"/>
  <c r="G181" i="8" s="1"/>
  <c r="I179" i="8"/>
  <c r="J179" i="8" s="1"/>
  <c r="H179" i="8"/>
  <c r="H178" i="8"/>
  <c r="I178" i="8" s="1"/>
  <c r="G177" i="8"/>
  <c r="G176" i="8" s="1"/>
  <c r="G175" i="8" s="1"/>
  <c r="F177" i="8"/>
  <c r="F176" i="8" s="1"/>
  <c r="F175" i="8" s="1"/>
  <c r="J173" i="8"/>
  <c r="I173" i="8"/>
  <c r="H173" i="8"/>
  <c r="I172" i="8"/>
  <c r="J172" i="8" s="1"/>
  <c r="J171" i="8" s="1"/>
  <c r="J170" i="8" s="1"/>
  <c r="J169" i="8" s="1"/>
  <c r="H172" i="8"/>
  <c r="H171" i="8"/>
  <c r="H170" i="8" s="1"/>
  <c r="H169" i="8" s="1"/>
  <c r="G171" i="8"/>
  <c r="G170" i="8" s="1"/>
  <c r="G169" i="8" s="1"/>
  <c r="F171" i="8"/>
  <c r="F170" i="8"/>
  <c r="F169" i="8"/>
  <c r="J167" i="8"/>
  <c r="I167" i="8"/>
  <c r="H167" i="8"/>
  <c r="J166" i="8"/>
  <c r="I166" i="8"/>
  <c r="H166" i="8"/>
  <c r="G166" i="8"/>
  <c r="F166" i="8"/>
  <c r="J165" i="8"/>
  <c r="I165" i="8"/>
  <c r="H165" i="8"/>
  <c r="J164" i="8"/>
  <c r="I164" i="8"/>
  <c r="H164" i="8"/>
  <c r="I163" i="8"/>
  <c r="J163" i="8" s="1"/>
  <c r="J162" i="8" s="1"/>
  <c r="J161" i="8" s="1"/>
  <c r="J160" i="8" s="1"/>
  <c r="H163" i="8"/>
  <c r="H162" i="8"/>
  <c r="H161" i="8" s="1"/>
  <c r="H160" i="8" s="1"/>
  <c r="G162" i="8"/>
  <c r="G161" i="8" s="1"/>
  <c r="G160" i="8" s="1"/>
  <c r="F162" i="8"/>
  <c r="F161" i="8" s="1"/>
  <c r="F160" i="8" s="1"/>
  <c r="J158" i="8"/>
  <c r="I158" i="8"/>
  <c r="H158" i="8"/>
  <c r="J157" i="8"/>
  <c r="J156" i="8" s="1"/>
  <c r="J155" i="8" s="1"/>
  <c r="J154" i="8" s="1"/>
  <c r="I157" i="8"/>
  <c r="H157" i="8"/>
  <c r="I156" i="8"/>
  <c r="I155" i="8" s="1"/>
  <c r="I154" i="8" s="1"/>
  <c r="H156" i="8"/>
  <c r="H155" i="8" s="1"/>
  <c r="H154" i="8" s="1"/>
  <c r="G156" i="8"/>
  <c r="G155" i="8" s="1"/>
  <c r="G154" i="8" s="1"/>
  <c r="F156" i="8"/>
  <c r="F155" i="8"/>
  <c r="F154" i="8" s="1"/>
  <c r="H152" i="8"/>
  <c r="I152" i="8" s="1"/>
  <c r="J151" i="8"/>
  <c r="I151" i="8"/>
  <c r="H151" i="8"/>
  <c r="I150" i="8"/>
  <c r="J150" i="8" s="1"/>
  <c r="H150" i="8"/>
  <c r="H149" i="8"/>
  <c r="H148" i="8" s="1"/>
  <c r="H147" i="8" s="1"/>
  <c r="G149" i="8"/>
  <c r="G148" i="8" s="1"/>
  <c r="G147" i="8" s="1"/>
  <c r="G146" i="8" s="1"/>
  <c r="F149" i="8"/>
  <c r="F148" i="8"/>
  <c r="F147" i="8" s="1"/>
  <c r="F146" i="8" s="1"/>
  <c r="H144" i="8"/>
  <c r="I144" i="8" s="1"/>
  <c r="G144" i="8"/>
  <c r="H143" i="8"/>
  <c r="G143" i="8"/>
  <c r="F143" i="8"/>
  <c r="J142" i="8"/>
  <c r="I142" i="8"/>
  <c r="H142" i="8"/>
  <c r="I141" i="8"/>
  <c r="J141" i="8" s="1"/>
  <c r="H141" i="8"/>
  <c r="H140" i="8"/>
  <c r="I140" i="8" s="1"/>
  <c r="G139" i="8"/>
  <c r="F139" i="8"/>
  <c r="F138" i="8" s="1"/>
  <c r="F137" i="8" s="1"/>
  <c r="G138" i="8"/>
  <c r="G137" i="8" s="1"/>
  <c r="I135" i="8"/>
  <c r="J135" i="8" s="1"/>
  <c r="H135" i="8"/>
  <c r="H134" i="8"/>
  <c r="I134" i="8" s="1"/>
  <c r="J134" i="8" s="1"/>
  <c r="H133" i="8"/>
  <c r="I133" i="8" s="1"/>
  <c r="G132" i="8"/>
  <c r="F132" i="8"/>
  <c r="F131" i="8" s="1"/>
  <c r="F130" i="8" s="1"/>
  <c r="G131" i="8"/>
  <c r="G130" i="8" s="1"/>
  <c r="I128" i="8"/>
  <c r="J128" i="8" s="1"/>
  <c r="J127" i="8" s="1"/>
  <c r="H128" i="8"/>
  <c r="G128" i="8"/>
  <c r="I127" i="8"/>
  <c r="H127" i="8"/>
  <c r="G127" i="8"/>
  <c r="F127" i="8"/>
  <c r="H126" i="8"/>
  <c r="I126" i="8" s="1"/>
  <c r="I125" i="8"/>
  <c r="J125" i="8" s="1"/>
  <c r="H125" i="8"/>
  <c r="G125" i="8"/>
  <c r="H124" i="8"/>
  <c r="G124" i="8"/>
  <c r="F124" i="8"/>
  <c r="H123" i="8"/>
  <c r="G123" i="8"/>
  <c r="F123" i="8"/>
  <c r="F122" i="8" s="1"/>
  <c r="F121" i="8" s="1"/>
  <c r="H122" i="8"/>
  <c r="G122" i="8"/>
  <c r="I119" i="8"/>
  <c r="J119" i="8" s="1"/>
  <c r="J118" i="8" s="1"/>
  <c r="J117" i="8" s="1"/>
  <c r="J116" i="8" s="1"/>
  <c r="H119" i="8"/>
  <c r="H118" i="8"/>
  <c r="H117" i="8" s="1"/>
  <c r="H116" i="8" s="1"/>
  <c r="G118" i="8"/>
  <c r="F118" i="8"/>
  <c r="G117" i="8"/>
  <c r="F117" i="8"/>
  <c r="G116" i="8"/>
  <c r="F116" i="8"/>
  <c r="H114" i="8"/>
  <c r="G114" i="8"/>
  <c r="I114" i="8" s="1"/>
  <c r="H113" i="8"/>
  <c r="G113" i="8"/>
  <c r="G112" i="8" s="1"/>
  <c r="G111" i="8" s="1"/>
  <c r="F113" i="8"/>
  <c r="H112" i="8"/>
  <c r="H111" i="8" s="1"/>
  <c r="H105" i="8" s="1"/>
  <c r="F112" i="8"/>
  <c r="F111" i="8"/>
  <c r="H109" i="8"/>
  <c r="I109" i="8" s="1"/>
  <c r="H108" i="8"/>
  <c r="G108" i="8"/>
  <c r="F108" i="8"/>
  <c r="H107" i="8"/>
  <c r="G107" i="8"/>
  <c r="F107" i="8"/>
  <c r="F106" i="8" s="1"/>
  <c r="F105" i="8" s="1"/>
  <c r="H106" i="8"/>
  <c r="G106" i="8"/>
  <c r="G105" i="8" s="1"/>
  <c r="I103" i="8"/>
  <c r="J103" i="8" s="1"/>
  <c r="J102" i="8" s="1"/>
  <c r="H103" i="8"/>
  <c r="H102" i="8"/>
  <c r="G102" i="8"/>
  <c r="F102" i="8"/>
  <c r="I101" i="8"/>
  <c r="J101" i="8" s="1"/>
  <c r="J100" i="8" s="1"/>
  <c r="J99" i="8" s="1"/>
  <c r="J98" i="8" s="1"/>
  <c r="H101" i="8"/>
  <c r="H100" i="8"/>
  <c r="H99" i="8" s="1"/>
  <c r="H98" i="8" s="1"/>
  <c r="G100" i="8"/>
  <c r="F100" i="8"/>
  <c r="G99" i="8"/>
  <c r="F99" i="8"/>
  <c r="G98" i="8"/>
  <c r="F98" i="8"/>
  <c r="H96" i="8"/>
  <c r="H94" i="8" s="1"/>
  <c r="H95" i="8"/>
  <c r="I95" i="8" s="1"/>
  <c r="G94" i="8"/>
  <c r="F94" i="8"/>
  <c r="H93" i="8"/>
  <c r="G93" i="8"/>
  <c r="I93" i="8" s="1"/>
  <c r="J93" i="8" s="1"/>
  <c r="H92" i="8"/>
  <c r="I92" i="8" s="1"/>
  <c r="J92" i="8" s="1"/>
  <c r="I91" i="8"/>
  <c r="J91" i="8" s="1"/>
  <c r="H91" i="8"/>
  <c r="H90" i="8"/>
  <c r="H89" i="8" s="1"/>
  <c r="H88" i="8" s="1"/>
  <c r="G90" i="8"/>
  <c r="G89" i="8" s="1"/>
  <c r="G88" i="8" s="1"/>
  <c r="F90" i="8"/>
  <c r="F89" i="8"/>
  <c r="F88" i="8"/>
  <c r="H86" i="8"/>
  <c r="I86" i="8" s="1"/>
  <c r="J86" i="8" s="1"/>
  <c r="H85" i="8"/>
  <c r="I85" i="8" s="1"/>
  <c r="H84" i="8"/>
  <c r="H83" i="8" s="1"/>
  <c r="H82" i="8" s="1"/>
  <c r="G84" i="8"/>
  <c r="F84" i="8"/>
  <c r="G83" i="8"/>
  <c r="F83" i="8"/>
  <c r="F82" i="8" s="1"/>
  <c r="G82" i="8"/>
  <c r="H80" i="8"/>
  <c r="I80" i="8" s="1"/>
  <c r="J80" i="8" s="1"/>
  <c r="H79" i="8"/>
  <c r="I79" i="8" s="1"/>
  <c r="J79" i="8" s="1"/>
  <c r="H78" i="8"/>
  <c r="I78" i="8" s="1"/>
  <c r="J78" i="8" s="1"/>
  <c r="I77" i="8"/>
  <c r="J77" i="8" s="1"/>
  <c r="J76" i="8" s="1"/>
  <c r="H77" i="8"/>
  <c r="H76" i="8"/>
  <c r="G76" i="8"/>
  <c r="F76" i="8"/>
  <c r="I75" i="8"/>
  <c r="J75" i="8" s="1"/>
  <c r="H75" i="8"/>
  <c r="H74" i="8"/>
  <c r="I74" i="8" s="1"/>
  <c r="G73" i="8"/>
  <c r="F73" i="8"/>
  <c r="F65" i="8" s="1"/>
  <c r="F64" i="8" s="1"/>
  <c r="H72" i="8"/>
  <c r="I72" i="8" s="1"/>
  <c r="H71" i="8"/>
  <c r="G71" i="8"/>
  <c r="F71" i="8"/>
  <c r="H70" i="8"/>
  <c r="I70" i="8" s="1"/>
  <c r="J70" i="8" s="1"/>
  <c r="G70" i="8"/>
  <c r="H69" i="8"/>
  <c r="I69" i="8" s="1"/>
  <c r="J69" i="8" s="1"/>
  <c r="H68" i="8"/>
  <c r="H66" i="8" s="1"/>
  <c r="H67" i="8"/>
  <c r="I67" i="8" s="1"/>
  <c r="G66" i="8"/>
  <c r="F66" i="8"/>
  <c r="G65" i="8"/>
  <c r="G64" i="8" s="1"/>
  <c r="H62" i="8"/>
  <c r="I62" i="8" s="1"/>
  <c r="J62" i="8" s="1"/>
  <c r="H61" i="8"/>
  <c r="I61" i="8" s="1"/>
  <c r="J61" i="8" s="1"/>
  <c r="H60" i="8"/>
  <c r="I60" i="8" s="1"/>
  <c r="J60" i="8" s="1"/>
  <c r="I59" i="8"/>
  <c r="J59" i="8" s="1"/>
  <c r="H59" i="8"/>
  <c r="H58" i="8"/>
  <c r="H57" i="8" s="1"/>
  <c r="H56" i="8" s="1"/>
  <c r="G58" i="8"/>
  <c r="F58" i="8"/>
  <c r="G57" i="8"/>
  <c r="F57" i="8"/>
  <c r="G56" i="8"/>
  <c r="F56" i="8"/>
  <c r="H54" i="8"/>
  <c r="H52" i="8" s="1"/>
  <c r="H51" i="8" s="1"/>
  <c r="H50" i="8" s="1"/>
  <c r="J53" i="8"/>
  <c r="I53" i="8"/>
  <c r="H53" i="8"/>
  <c r="G52" i="8"/>
  <c r="F52" i="8"/>
  <c r="G51" i="8"/>
  <c r="F51" i="8"/>
  <c r="F50" i="8" s="1"/>
  <c r="G50" i="8"/>
  <c r="H48" i="8"/>
  <c r="I48" i="8" s="1"/>
  <c r="J48" i="8" s="1"/>
  <c r="H47" i="8"/>
  <c r="I47" i="8" s="1"/>
  <c r="G46" i="8"/>
  <c r="F46" i="8"/>
  <c r="F45" i="8" s="1"/>
  <c r="F44" i="8" s="1"/>
  <c r="G45" i="8"/>
  <c r="G44" i="8" s="1"/>
  <c r="H39" i="8"/>
  <c r="I39" i="8" s="1"/>
  <c r="H38" i="8"/>
  <c r="G38" i="8"/>
  <c r="F38" i="8"/>
  <c r="H36" i="8"/>
  <c r="I36" i="8" s="1"/>
  <c r="G36" i="8"/>
  <c r="H35" i="8"/>
  <c r="G35" i="8"/>
  <c r="F35" i="8"/>
  <c r="I33" i="8"/>
  <c r="J33" i="8" s="1"/>
  <c r="J32" i="8" s="1"/>
  <c r="H33" i="8"/>
  <c r="H32" i="8"/>
  <c r="H31" i="8" s="1"/>
  <c r="G32" i="8"/>
  <c r="F32" i="8"/>
  <c r="G31" i="8"/>
  <c r="F31" i="8"/>
  <c r="H29" i="8"/>
  <c r="I29" i="8" s="1"/>
  <c r="G28" i="8"/>
  <c r="F28" i="8"/>
  <c r="H26" i="8"/>
  <c r="I26" i="8" s="1"/>
  <c r="H25" i="8"/>
  <c r="G25" i="8"/>
  <c r="F25" i="8"/>
  <c r="H23" i="8"/>
  <c r="I23" i="8" s="1"/>
  <c r="G22" i="8"/>
  <c r="F22" i="8"/>
  <c r="H20" i="8"/>
  <c r="I20" i="8" s="1"/>
  <c r="H19" i="8"/>
  <c r="G19" i="8"/>
  <c r="F19" i="8"/>
  <c r="G18" i="8"/>
  <c r="F18" i="8"/>
  <c r="H16" i="8"/>
  <c r="I16" i="8" s="1"/>
  <c r="J16" i="8" s="1"/>
  <c r="H15" i="8"/>
  <c r="I15" i="8" s="1"/>
  <c r="I14" i="8"/>
  <c r="J14" i="8" s="1"/>
  <c r="H14" i="8"/>
  <c r="H13" i="8"/>
  <c r="G13" i="8"/>
  <c r="F13" i="8"/>
  <c r="I11" i="8"/>
  <c r="J11" i="8" s="1"/>
  <c r="H11" i="8"/>
  <c r="H10" i="8"/>
  <c r="I10" i="8" s="1"/>
  <c r="G9" i="8"/>
  <c r="G8" i="8" s="1"/>
  <c r="G40" i="8" s="1"/>
  <c r="F9" i="8"/>
  <c r="F8" i="8"/>
  <c r="J10" i="9" l="1"/>
  <c r="J9" i="9" s="1"/>
  <c r="I9" i="9"/>
  <c r="J26" i="9"/>
  <c r="J25" i="9" s="1"/>
  <c r="I25" i="9"/>
  <c r="J114" i="9"/>
  <c r="J113" i="9" s="1"/>
  <c r="J112" i="9" s="1"/>
  <c r="J111" i="9" s="1"/>
  <c r="I113" i="9"/>
  <c r="I112" i="9" s="1"/>
  <c r="I111" i="9" s="1"/>
  <c r="F121" i="9"/>
  <c r="F146" i="9"/>
  <c r="J149" i="9"/>
  <c r="J148" i="9" s="1"/>
  <c r="J147" i="9" s="1"/>
  <c r="J167" i="9"/>
  <c r="J166" i="9" s="1"/>
  <c r="I166" i="9"/>
  <c r="J23" i="9"/>
  <c r="J22" i="9" s="1"/>
  <c r="I22" i="9"/>
  <c r="J31" i="9"/>
  <c r="J36" i="9"/>
  <c r="J35" i="9" s="1"/>
  <c r="I35" i="9"/>
  <c r="J39" i="9"/>
  <c r="J38" i="9" s="1"/>
  <c r="I38" i="9"/>
  <c r="J85" i="9"/>
  <c r="J84" i="9" s="1"/>
  <c r="J83" i="9" s="1"/>
  <c r="J82" i="9" s="1"/>
  <c r="I84" i="9"/>
  <c r="I83" i="9" s="1"/>
  <c r="I82" i="9" s="1"/>
  <c r="J95" i="9"/>
  <c r="J94" i="9" s="1"/>
  <c r="I94" i="9"/>
  <c r="J172" i="9"/>
  <c r="J171" i="9" s="1"/>
  <c r="J170" i="9" s="1"/>
  <c r="J169" i="9" s="1"/>
  <c r="I171" i="9"/>
  <c r="I170" i="9" s="1"/>
  <c r="I169" i="9" s="1"/>
  <c r="J20" i="9"/>
  <c r="J19" i="9" s="1"/>
  <c r="I19" i="9"/>
  <c r="J74" i="9"/>
  <c r="J73" i="9" s="1"/>
  <c r="I73" i="9"/>
  <c r="J109" i="9"/>
  <c r="J108" i="9" s="1"/>
  <c r="J107" i="9" s="1"/>
  <c r="J106" i="9" s="1"/>
  <c r="J105" i="9" s="1"/>
  <c r="I108" i="9"/>
  <c r="I107" i="9" s="1"/>
  <c r="I106" i="9" s="1"/>
  <c r="J126" i="9"/>
  <c r="J124" i="9" s="1"/>
  <c r="J123" i="9" s="1"/>
  <c r="J122" i="9" s="1"/>
  <c r="I124" i="9"/>
  <c r="I123" i="9" s="1"/>
  <c r="I122" i="9" s="1"/>
  <c r="J144" i="9"/>
  <c r="J143" i="9" s="1"/>
  <c r="I143" i="9"/>
  <c r="J163" i="9"/>
  <c r="J162" i="9" s="1"/>
  <c r="J161" i="9" s="1"/>
  <c r="J160" i="9" s="1"/>
  <c r="I162" i="9"/>
  <c r="I161" i="9" s="1"/>
  <c r="I160" i="9" s="1"/>
  <c r="J184" i="9"/>
  <c r="J183" i="9" s="1"/>
  <c r="J182" i="9" s="1"/>
  <c r="J181" i="9" s="1"/>
  <c r="I183" i="9"/>
  <c r="I182" i="9" s="1"/>
  <c r="I181" i="9" s="1"/>
  <c r="J190" i="9"/>
  <c r="J189" i="9" s="1"/>
  <c r="J188" i="9" s="1"/>
  <c r="I189" i="9"/>
  <c r="I188" i="9" s="1"/>
  <c r="G40" i="9"/>
  <c r="J13" i="9"/>
  <c r="J29" i="9"/>
  <c r="J28" i="9" s="1"/>
  <c r="I28" i="9"/>
  <c r="H31" i="9"/>
  <c r="J53" i="9"/>
  <c r="J52" i="9" s="1"/>
  <c r="J51" i="9" s="1"/>
  <c r="J50" i="9" s="1"/>
  <c r="I52" i="9"/>
  <c r="I51" i="9" s="1"/>
  <c r="I50" i="9" s="1"/>
  <c r="J58" i="9"/>
  <c r="J57" i="9" s="1"/>
  <c r="J56" i="9" s="1"/>
  <c r="J67" i="9"/>
  <c r="J66" i="9" s="1"/>
  <c r="I66" i="9"/>
  <c r="J72" i="9"/>
  <c r="J71" i="9" s="1"/>
  <c r="I71" i="9"/>
  <c r="J90" i="9"/>
  <c r="J89" i="9" s="1"/>
  <c r="J88" i="9" s="1"/>
  <c r="G146" i="9"/>
  <c r="J178" i="9"/>
  <c r="J177" i="9" s="1"/>
  <c r="J176" i="9" s="1"/>
  <c r="J175" i="9" s="1"/>
  <c r="I177" i="9"/>
  <c r="I176" i="9" s="1"/>
  <c r="I175" i="9" s="1"/>
  <c r="H9" i="9"/>
  <c r="H8" i="9" s="1"/>
  <c r="I13" i="9"/>
  <c r="I32" i="9"/>
  <c r="I31" i="9" s="1"/>
  <c r="H38" i="9"/>
  <c r="I48" i="9"/>
  <c r="J48" i="9" s="1"/>
  <c r="J46" i="9" s="1"/>
  <c r="J45" i="9" s="1"/>
  <c r="J44" i="9" s="1"/>
  <c r="I58" i="9"/>
  <c r="I57" i="9" s="1"/>
  <c r="I56" i="9" s="1"/>
  <c r="H71" i="9"/>
  <c r="H73" i="9"/>
  <c r="I76" i="9"/>
  <c r="I90" i="9"/>
  <c r="I89" i="9" s="1"/>
  <c r="I88" i="9" s="1"/>
  <c r="I100" i="9"/>
  <c r="I99" i="9" s="1"/>
  <c r="I98" i="9" s="1"/>
  <c r="I102" i="9"/>
  <c r="I118" i="9"/>
  <c r="I117" i="9" s="1"/>
  <c r="I116" i="9" s="1"/>
  <c r="I134" i="9"/>
  <c r="J134" i="9" s="1"/>
  <c r="J132" i="9" s="1"/>
  <c r="J131" i="9" s="1"/>
  <c r="J130" i="9" s="1"/>
  <c r="I141" i="9"/>
  <c r="J141" i="9" s="1"/>
  <c r="J139" i="9" s="1"/>
  <c r="J138" i="9" s="1"/>
  <c r="J137" i="9" s="1"/>
  <c r="I149" i="9"/>
  <c r="I148" i="9" s="1"/>
  <c r="I147" i="9" s="1"/>
  <c r="I156" i="9"/>
  <c r="I155" i="9" s="1"/>
  <c r="I154" i="9" s="1"/>
  <c r="H162" i="9"/>
  <c r="H171" i="9"/>
  <c r="H170" i="9" s="1"/>
  <c r="H169" i="9" s="1"/>
  <c r="J226" i="9"/>
  <c r="J225" i="9" s="1"/>
  <c r="I225" i="9"/>
  <c r="J229" i="9"/>
  <c r="J228" i="9" s="1"/>
  <c r="I228" i="9"/>
  <c r="J234" i="9"/>
  <c r="J233" i="9" s="1"/>
  <c r="I233" i="9"/>
  <c r="J286" i="9"/>
  <c r="J285" i="9" s="1"/>
  <c r="I285" i="9"/>
  <c r="J299" i="9"/>
  <c r="J298" i="9" s="1"/>
  <c r="I298" i="9"/>
  <c r="I297" i="9" s="1"/>
  <c r="I296" i="9" s="1"/>
  <c r="I301" i="9"/>
  <c r="J303" i="9"/>
  <c r="H177" i="9"/>
  <c r="H176" i="9" s="1"/>
  <c r="H175" i="9" s="1"/>
  <c r="J193" i="9"/>
  <c r="J192" i="9" s="1"/>
  <c r="J191" i="9" s="1"/>
  <c r="I192" i="9"/>
  <c r="I191" i="9" s="1"/>
  <c r="J204" i="9"/>
  <c r="J203" i="9" s="1"/>
  <c r="I203" i="9"/>
  <c r="F218" i="9"/>
  <c r="F42" i="9" s="1"/>
  <c r="J239" i="9"/>
  <c r="J238" i="9" s="1"/>
  <c r="I238" i="9"/>
  <c r="J241" i="9"/>
  <c r="J240" i="9" s="1"/>
  <c r="I240" i="9"/>
  <c r="J243" i="9"/>
  <c r="J242" i="9" s="1"/>
  <c r="I242" i="9"/>
  <c r="J278" i="9"/>
  <c r="J277" i="9" s="1"/>
  <c r="J276" i="9" s="1"/>
  <c r="I277" i="9"/>
  <c r="I276" i="9" s="1"/>
  <c r="J290" i="9"/>
  <c r="J289" i="9" s="1"/>
  <c r="I289" i="9"/>
  <c r="I311" i="9"/>
  <c r="J313" i="9"/>
  <c r="J311" i="9" s="1"/>
  <c r="J321" i="9"/>
  <c r="J320" i="9" s="1"/>
  <c r="I320" i="9"/>
  <c r="H19" i="9"/>
  <c r="H22" i="9"/>
  <c r="H25" i="9"/>
  <c r="H28" i="9"/>
  <c r="I46" i="9"/>
  <c r="I45" i="9" s="1"/>
  <c r="I44" i="9" s="1"/>
  <c r="H52" i="9"/>
  <c r="H51" i="9" s="1"/>
  <c r="H50" i="9" s="1"/>
  <c r="H66" i="9"/>
  <c r="H65" i="9" s="1"/>
  <c r="H64" i="9" s="1"/>
  <c r="H84" i="9"/>
  <c r="H83" i="9" s="1"/>
  <c r="H82" i="9" s="1"/>
  <c r="G90" i="9"/>
  <c r="G89" i="9" s="1"/>
  <c r="G88" i="9" s="1"/>
  <c r="G43" i="9" s="1"/>
  <c r="G42" i="9" s="1"/>
  <c r="H94" i="9"/>
  <c r="H89" i="9" s="1"/>
  <c r="H88" i="9" s="1"/>
  <c r="H108" i="9"/>
  <c r="H107" i="9" s="1"/>
  <c r="H106" i="9" s="1"/>
  <c r="H105" i="9" s="1"/>
  <c r="H124" i="9"/>
  <c r="H123" i="9" s="1"/>
  <c r="H122" i="9" s="1"/>
  <c r="H121" i="9" s="1"/>
  <c r="I132" i="9"/>
  <c r="I131" i="9" s="1"/>
  <c r="I130" i="9" s="1"/>
  <c r="I139" i="9"/>
  <c r="I138" i="9" s="1"/>
  <c r="I137" i="9" s="1"/>
  <c r="H166" i="9"/>
  <c r="H183" i="9"/>
  <c r="H182" i="9" s="1"/>
  <c r="H181" i="9" s="1"/>
  <c r="J208" i="9"/>
  <c r="J207" i="9" s="1"/>
  <c r="I207" i="9"/>
  <c r="G246" i="9"/>
  <c r="J267" i="9"/>
  <c r="J266" i="9" s="1"/>
  <c r="I266" i="9"/>
  <c r="J198" i="9"/>
  <c r="J197" i="9" s="1"/>
  <c r="J196" i="9" s="1"/>
  <c r="J195" i="9" s="1"/>
  <c r="I197" i="9"/>
  <c r="I196" i="9" s="1"/>
  <c r="I195" i="9" s="1"/>
  <c r="J211" i="9"/>
  <c r="J210" i="9" s="1"/>
  <c r="I210" i="9"/>
  <c r="I221" i="9"/>
  <c r="J223" i="9"/>
  <c r="J221" i="9" s="1"/>
  <c r="J220" i="9" s="1"/>
  <c r="J219" i="9" s="1"/>
  <c r="J231" i="9"/>
  <c r="J230" i="9" s="1"/>
  <c r="I230" i="9"/>
  <c r="J250" i="9"/>
  <c r="J249" i="9" s="1"/>
  <c r="I249" i="9"/>
  <c r="J253" i="9"/>
  <c r="J252" i="9" s="1"/>
  <c r="I252" i="9"/>
  <c r="J262" i="9"/>
  <c r="J261" i="9" s="1"/>
  <c r="J260" i="9" s="1"/>
  <c r="J259" i="9" s="1"/>
  <c r="I261" i="9"/>
  <c r="J265" i="9"/>
  <c r="J264" i="9" s="1"/>
  <c r="I264" i="9"/>
  <c r="J272" i="9"/>
  <c r="J271" i="9" s="1"/>
  <c r="J270" i="9" s="1"/>
  <c r="J269" i="9" s="1"/>
  <c r="I271" i="9"/>
  <c r="I270" i="9" s="1"/>
  <c r="I269" i="9" s="1"/>
  <c r="J294" i="9"/>
  <c r="J293" i="9" s="1"/>
  <c r="I293" i="9"/>
  <c r="J301" i="9"/>
  <c r="J308" i="9"/>
  <c r="J307" i="9" s="1"/>
  <c r="I307" i="9"/>
  <c r="I306" i="9" s="1"/>
  <c r="I305" i="9" s="1"/>
  <c r="G221" i="9"/>
  <c r="G220" i="9" s="1"/>
  <c r="G219" i="9" s="1"/>
  <c r="G218" i="9" s="1"/>
  <c r="H225" i="9"/>
  <c r="H220" i="9" s="1"/>
  <c r="H219" i="9" s="1"/>
  <c r="H218" i="9" s="1"/>
  <c r="H249" i="9"/>
  <c r="H271" i="9"/>
  <c r="H270" i="9" s="1"/>
  <c r="H269" i="9" s="1"/>
  <c r="H285" i="9"/>
  <c r="H293" i="9"/>
  <c r="I323" i="9"/>
  <c r="H322" i="9"/>
  <c r="J374" i="9"/>
  <c r="J373" i="9" s="1"/>
  <c r="J372" i="9" s="1"/>
  <c r="I373" i="9"/>
  <c r="I372" i="9" s="1"/>
  <c r="I371" i="9" s="1"/>
  <c r="F385" i="9"/>
  <c r="J387" i="9"/>
  <c r="J386" i="9" s="1"/>
  <c r="J413" i="9"/>
  <c r="J412" i="9" s="1"/>
  <c r="J411" i="9" s="1"/>
  <c r="I412" i="9"/>
  <c r="I411" i="9" s="1"/>
  <c r="J428" i="9"/>
  <c r="J427" i="9" s="1"/>
  <c r="J426" i="9" s="1"/>
  <c r="I427" i="9"/>
  <c r="I426" i="9" s="1"/>
  <c r="J436" i="9"/>
  <c r="J435" i="9" s="1"/>
  <c r="I435" i="9"/>
  <c r="J329" i="9"/>
  <c r="J328" i="9" s="1"/>
  <c r="J327" i="9" s="1"/>
  <c r="J326" i="9" s="1"/>
  <c r="I328" i="9"/>
  <c r="I327" i="9" s="1"/>
  <c r="I326" i="9" s="1"/>
  <c r="J341" i="9"/>
  <c r="J340" i="9" s="1"/>
  <c r="J354" i="9"/>
  <c r="J353" i="9" s="1"/>
  <c r="J352" i="9" s="1"/>
  <c r="F370" i="9"/>
  <c r="F245" i="9" s="1"/>
  <c r="J380" i="9"/>
  <c r="J379" i="9" s="1"/>
  <c r="J378" i="9" s="1"/>
  <c r="I379" i="9"/>
  <c r="I378" i="9" s="1"/>
  <c r="J393" i="9"/>
  <c r="J392" i="9" s="1"/>
  <c r="I256" i="9"/>
  <c r="H264" i="9"/>
  <c r="H266" i="9"/>
  <c r="H289" i="9"/>
  <c r="H298" i="9"/>
  <c r="H297" i="9" s="1"/>
  <c r="H296" i="9" s="1"/>
  <c r="J363" i="9"/>
  <c r="J362" i="9" s="1"/>
  <c r="J361" i="9" s="1"/>
  <c r="J367" i="9"/>
  <c r="J366" i="9" s="1"/>
  <c r="I366" i="9"/>
  <c r="J417" i="9"/>
  <c r="J416" i="9" s="1"/>
  <c r="J415" i="9" s="1"/>
  <c r="I416" i="9"/>
  <c r="I415" i="9" s="1"/>
  <c r="H203" i="9"/>
  <c r="H202" i="9" s="1"/>
  <c r="H201" i="9" s="1"/>
  <c r="I215" i="9"/>
  <c r="I214" i="9" s="1"/>
  <c r="I213" i="9" s="1"/>
  <c r="H228" i="9"/>
  <c r="H230" i="9"/>
  <c r="H252" i="9"/>
  <c r="H261" i="9"/>
  <c r="H320" i="9"/>
  <c r="H319" i="9" s="1"/>
  <c r="H318" i="9" s="1"/>
  <c r="G371" i="9"/>
  <c r="G410" i="9"/>
  <c r="I335" i="9"/>
  <c r="J335" i="9" s="1"/>
  <c r="J333" i="9" s="1"/>
  <c r="J332" i="9" s="1"/>
  <c r="J331" i="9" s="1"/>
  <c r="I337" i="9"/>
  <c r="I349" i="9"/>
  <c r="I348" i="9" s="1"/>
  <c r="I347" i="9" s="1"/>
  <c r="I356" i="9"/>
  <c r="J356" i="9" s="1"/>
  <c r="I358" i="9"/>
  <c r="I365" i="9"/>
  <c r="J365" i="9" s="1"/>
  <c r="H366" i="9"/>
  <c r="H362" i="9" s="1"/>
  <c r="H361" i="9" s="1"/>
  <c r="H379" i="9"/>
  <c r="H378" i="9" s="1"/>
  <c r="I387" i="9"/>
  <c r="I386" i="9" s="1"/>
  <c r="I385" i="9" s="1"/>
  <c r="I395" i="9"/>
  <c r="J395" i="9" s="1"/>
  <c r="I402" i="9"/>
  <c r="J402" i="9" s="1"/>
  <c r="J400" i="9" s="1"/>
  <c r="J399" i="9" s="1"/>
  <c r="J398" i="9" s="1"/>
  <c r="I406" i="9"/>
  <c r="I405" i="9" s="1"/>
  <c r="H412" i="9"/>
  <c r="H411" i="9" s="1"/>
  <c r="H410" i="9" s="1"/>
  <c r="H416" i="9"/>
  <c r="H415" i="9" s="1"/>
  <c r="I424" i="9"/>
  <c r="J424" i="9" s="1"/>
  <c r="J422" i="9" s="1"/>
  <c r="J421" i="9" s="1"/>
  <c r="J420" i="9" s="1"/>
  <c r="H427" i="9"/>
  <c r="H426" i="9" s="1"/>
  <c r="H420" i="9" s="1"/>
  <c r="I440" i="9"/>
  <c r="H439" i="9"/>
  <c r="J474" i="9"/>
  <c r="J473" i="9" s="1"/>
  <c r="I473" i="9"/>
  <c r="J478" i="9"/>
  <c r="J489" i="9"/>
  <c r="J488" i="9" s="1"/>
  <c r="I488" i="9"/>
  <c r="J447" i="9"/>
  <c r="J446" i="9" s="1"/>
  <c r="J445" i="9" s="1"/>
  <c r="J444" i="9" s="1"/>
  <c r="I446" i="9"/>
  <c r="I445" i="9" s="1"/>
  <c r="I444" i="9" s="1"/>
  <c r="J487" i="9"/>
  <c r="J486" i="9" s="1"/>
  <c r="I486" i="9"/>
  <c r="J493" i="9"/>
  <c r="J492" i="9" s="1"/>
  <c r="J498" i="9"/>
  <c r="J497" i="9" s="1"/>
  <c r="I497" i="9"/>
  <c r="J511" i="9"/>
  <c r="J510" i="9" s="1"/>
  <c r="I510" i="9"/>
  <c r="I509" i="9" s="1"/>
  <c r="I508" i="9" s="1"/>
  <c r="J514" i="9"/>
  <c r="J513" i="9" s="1"/>
  <c r="I513" i="9"/>
  <c r="J526" i="9"/>
  <c r="J525" i="9" s="1"/>
  <c r="I525" i="9"/>
  <c r="I342" i="9"/>
  <c r="I341" i="9" s="1"/>
  <c r="I340" i="9" s="1"/>
  <c r="I344" i="9"/>
  <c r="I354" i="9"/>
  <c r="I353" i="9" s="1"/>
  <c r="I352" i="9" s="1"/>
  <c r="I363" i="9"/>
  <c r="I362" i="9" s="1"/>
  <c r="I361" i="9" s="1"/>
  <c r="H373" i="9"/>
  <c r="H372" i="9" s="1"/>
  <c r="H371" i="9" s="1"/>
  <c r="I393" i="9"/>
  <c r="I392" i="9" s="1"/>
  <c r="I400" i="9"/>
  <c r="I399" i="9" s="1"/>
  <c r="I398" i="9" s="1"/>
  <c r="H435" i="9"/>
  <c r="H434" i="9" s="1"/>
  <c r="H433" i="9" s="1"/>
  <c r="H432" i="9" s="1"/>
  <c r="G441" i="9"/>
  <c r="G434" i="9" s="1"/>
  <c r="G433" i="9" s="1"/>
  <c r="G432" i="9" s="1"/>
  <c r="J468" i="9"/>
  <c r="J467" i="9" s="1"/>
  <c r="I467" i="9"/>
  <c r="J485" i="9"/>
  <c r="J484" i="9" s="1"/>
  <c r="J483" i="9" s="1"/>
  <c r="J482" i="9" s="1"/>
  <c r="I484" i="9"/>
  <c r="I483" i="9" s="1"/>
  <c r="I482" i="9" s="1"/>
  <c r="J503" i="9"/>
  <c r="J502" i="9" s="1"/>
  <c r="J501" i="9" s="1"/>
  <c r="J500" i="9" s="1"/>
  <c r="I502" i="9"/>
  <c r="I501" i="9" s="1"/>
  <c r="I500" i="9" s="1"/>
  <c r="G507" i="9"/>
  <c r="G461" i="9" s="1"/>
  <c r="J521" i="9"/>
  <c r="J520" i="9" s="1"/>
  <c r="I520" i="9"/>
  <c r="J535" i="9"/>
  <c r="J534" i="9" s="1"/>
  <c r="J533" i="9" s="1"/>
  <c r="J532" i="9" s="1"/>
  <c r="I534" i="9"/>
  <c r="I533" i="9" s="1"/>
  <c r="I532" i="9" s="1"/>
  <c r="J543" i="9"/>
  <c r="J542" i="9" s="1"/>
  <c r="J541" i="9" s="1"/>
  <c r="J540" i="9" s="1"/>
  <c r="I542" i="9"/>
  <c r="I541" i="9" s="1"/>
  <c r="I540" i="9" s="1"/>
  <c r="J442" i="9"/>
  <c r="J441" i="9" s="1"/>
  <c r="J459" i="9"/>
  <c r="J458" i="9" s="1"/>
  <c r="J457" i="9" s="1"/>
  <c r="J456" i="9" s="1"/>
  <c r="J455" i="9" s="1"/>
  <c r="I458" i="9"/>
  <c r="I457" i="9" s="1"/>
  <c r="I456" i="9" s="1"/>
  <c r="I455" i="9" s="1"/>
  <c r="J466" i="9"/>
  <c r="J465" i="9" s="1"/>
  <c r="J464" i="9" s="1"/>
  <c r="J463" i="9" s="1"/>
  <c r="J462" i="9" s="1"/>
  <c r="I465" i="9"/>
  <c r="I464" i="9" s="1"/>
  <c r="I463" i="9" s="1"/>
  <c r="I462" i="9" s="1"/>
  <c r="H493" i="9"/>
  <c r="H492" i="9" s="1"/>
  <c r="J519" i="9"/>
  <c r="J518" i="9" s="1"/>
  <c r="J517" i="9" s="1"/>
  <c r="J516" i="9" s="1"/>
  <c r="I518" i="9"/>
  <c r="I517" i="9" s="1"/>
  <c r="I516" i="9" s="1"/>
  <c r="J530" i="9"/>
  <c r="J529" i="9" s="1"/>
  <c r="I529" i="9"/>
  <c r="J549" i="9"/>
  <c r="J548" i="9" s="1"/>
  <c r="I548" i="9"/>
  <c r="I547" i="9" s="1"/>
  <c r="I546" i="9" s="1"/>
  <c r="J552" i="9"/>
  <c r="J551" i="9" s="1"/>
  <c r="I551" i="9"/>
  <c r="H497" i="9"/>
  <c r="H518" i="9"/>
  <c r="H517" i="9" s="1"/>
  <c r="H516" i="9" s="1"/>
  <c r="H520" i="9"/>
  <c r="H529" i="9"/>
  <c r="H548" i="9"/>
  <c r="J557" i="9"/>
  <c r="J556" i="9" s="1"/>
  <c r="J555" i="9" s="1"/>
  <c r="J554" i="9" s="1"/>
  <c r="I556" i="9"/>
  <c r="I555" i="9" s="1"/>
  <c r="I554" i="9" s="1"/>
  <c r="J629" i="9"/>
  <c r="J627" i="9" s="1"/>
  <c r="J626" i="9" s="1"/>
  <c r="J625" i="9" s="1"/>
  <c r="I627" i="9"/>
  <c r="F657" i="9"/>
  <c r="J662" i="9"/>
  <c r="J661" i="9" s="1"/>
  <c r="J660" i="9" s="1"/>
  <c r="J659" i="9" s="1"/>
  <c r="J658" i="9" s="1"/>
  <c r="I661" i="9"/>
  <c r="I660" i="9" s="1"/>
  <c r="I659" i="9" s="1"/>
  <c r="I658" i="9" s="1"/>
  <c r="J668" i="9"/>
  <c r="J667" i="9" s="1"/>
  <c r="J666" i="9" s="1"/>
  <c r="J665" i="9" s="1"/>
  <c r="J664" i="9" s="1"/>
  <c r="I667" i="9"/>
  <c r="I666" i="9" s="1"/>
  <c r="I665" i="9" s="1"/>
  <c r="I664" i="9" s="1"/>
  <c r="J598" i="9"/>
  <c r="J597" i="9" s="1"/>
  <c r="J593" i="9" s="1"/>
  <c r="J592" i="9" s="1"/>
  <c r="J591" i="9" s="1"/>
  <c r="I597" i="9"/>
  <c r="J607" i="9"/>
  <c r="J611" i="9"/>
  <c r="J610" i="9" s="1"/>
  <c r="I610" i="9"/>
  <c r="J616" i="9"/>
  <c r="J640" i="9"/>
  <c r="H473" i="9"/>
  <c r="H472" i="9" s="1"/>
  <c r="H471" i="9" s="1"/>
  <c r="I476" i="9"/>
  <c r="I478" i="9"/>
  <c r="H484" i="9"/>
  <c r="H483" i="9" s="1"/>
  <c r="H482" i="9" s="1"/>
  <c r="H486" i="9"/>
  <c r="H488" i="9"/>
  <c r="I494" i="9"/>
  <c r="I493" i="9" s="1"/>
  <c r="I492" i="9" s="1"/>
  <c r="I491" i="9" s="1"/>
  <c r="H502" i="9"/>
  <c r="H501" i="9" s="1"/>
  <c r="H500" i="9" s="1"/>
  <c r="H513" i="9"/>
  <c r="H525" i="9"/>
  <c r="H524" i="9" s="1"/>
  <c r="H523" i="9" s="1"/>
  <c r="J578" i="9"/>
  <c r="J577" i="9" s="1"/>
  <c r="I577" i="9"/>
  <c r="J588" i="9"/>
  <c r="J587" i="9" s="1"/>
  <c r="I587" i="9"/>
  <c r="J605" i="9"/>
  <c r="J604" i="9" s="1"/>
  <c r="I604" i="9"/>
  <c r="J622" i="9"/>
  <c r="J621" i="9" s="1"/>
  <c r="I621" i="9"/>
  <c r="J638" i="9"/>
  <c r="J637" i="9" s="1"/>
  <c r="I637" i="9"/>
  <c r="I636" i="9" s="1"/>
  <c r="I635" i="9" s="1"/>
  <c r="I634" i="9" s="1"/>
  <c r="J648" i="9"/>
  <c r="J647" i="9" s="1"/>
  <c r="I647" i="9"/>
  <c r="J651" i="9"/>
  <c r="J650" i="9" s="1"/>
  <c r="I650" i="9"/>
  <c r="H458" i="9"/>
  <c r="H457" i="9" s="1"/>
  <c r="H456" i="9" s="1"/>
  <c r="H455" i="9" s="1"/>
  <c r="H465" i="9"/>
  <c r="H464" i="9" s="1"/>
  <c r="H463" i="9" s="1"/>
  <c r="H462" i="9" s="1"/>
  <c r="H467" i="9"/>
  <c r="H510" i="9"/>
  <c r="H509" i="9" s="1"/>
  <c r="H508" i="9" s="1"/>
  <c r="H542" i="9"/>
  <c r="H541" i="9" s="1"/>
  <c r="H540" i="9" s="1"/>
  <c r="H551" i="9"/>
  <c r="J564" i="9"/>
  <c r="J563" i="9" s="1"/>
  <c r="J562" i="9" s="1"/>
  <c r="J561" i="9" s="1"/>
  <c r="I563" i="9"/>
  <c r="I562" i="9" s="1"/>
  <c r="I561" i="9" s="1"/>
  <c r="J573" i="9"/>
  <c r="J572" i="9" s="1"/>
  <c r="J571" i="9" s="1"/>
  <c r="J570" i="9" s="1"/>
  <c r="I572" i="9"/>
  <c r="J583" i="9"/>
  <c r="J582" i="9" s="1"/>
  <c r="J581" i="9" s="1"/>
  <c r="J580" i="9" s="1"/>
  <c r="I582" i="9"/>
  <c r="H593" i="9"/>
  <c r="H592" i="9" s="1"/>
  <c r="H591" i="9" s="1"/>
  <c r="F601" i="9"/>
  <c r="F568" i="9" s="1"/>
  <c r="H615" i="9"/>
  <c r="H614" i="9" s="1"/>
  <c r="J631" i="9"/>
  <c r="J630" i="9" s="1"/>
  <c r="I630" i="9"/>
  <c r="G657" i="9"/>
  <c r="J674" i="9"/>
  <c r="J673" i="9" s="1"/>
  <c r="J672" i="9" s="1"/>
  <c r="J671" i="9" s="1"/>
  <c r="J670" i="9" s="1"/>
  <c r="I673" i="9"/>
  <c r="I672" i="9" s="1"/>
  <c r="I671" i="9" s="1"/>
  <c r="I670" i="9" s="1"/>
  <c r="H556" i="9"/>
  <c r="H555" i="9" s="1"/>
  <c r="H554" i="9" s="1"/>
  <c r="H563" i="9"/>
  <c r="H562" i="9" s="1"/>
  <c r="H561" i="9" s="1"/>
  <c r="H587" i="9"/>
  <c r="H621" i="9"/>
  <c r="H647" i="9"/>
  <c r="H667" i="9"/>
  <c r="H666" i="9" s="1"/>
  <c r="H665" i="9" s="1"/>
  <c r="H664" i="9" s="1"/>
  <c r="I677" i="9"/>
  <c r="H577" i="9"/>
  <c r="H571" i="9" s="1"/>
  <c r="H570" i="9" s="1"/>
  <c r="H569" i="9" s="1"/>
  <c r="H597" i="9"/>
  <c r="H610" i="9"/>
  <c r="H627" i="9"/>
  <c r="H630" i="9"/>
  <c r="H661" i="9"/>
  <c r="H660" i="9" s="1"/>
  <c r="H659" i="9" s="1"/>
  <c r="H658" i="9" s="1"/>
  <c r="F684" i="9"/>
  <c r="H582" i="9"/>
  <c r="H581" i="9" s="1"/>
  <c r="H580" i="9" s="1"/>
  <c r="I594" i="9"/>
  <c r="I593" i="9" s="1"/>
  <c r="I592" i="9" s="1"/>
  <c r="I591" i="9" s="1"/>
  <c r="H604" i="9"/>
  <c r="I607" i="9"/>
  <c r="I616" i="9"/>
  <c r="H637" i="9"/>
  <c r="H636" i="9" s="1"/>
  <c r="H635" i="9" s="1"/>
  <c r="H634" i="9" s="1"/>
  <c r="I640" i="9"/>
  <c r="H650" i="9"/>
  <c r="I653" i="9"/>
  <c r="H673" i="9"/>
  <c r="H672" i="9" s="1"/>
  <c r="H671" i="9" s="1"/>
  <c r="H670" i="9" s="1"/>
  <c r="I684" i="8"/>
  <c r="F461" i="8"/>
  <c r="F220" i="8"/>
  <c r="F219" i="8" s="1"/>
  <c r="F218" i="8" s="1"/>
  <c r="G43" i="8"/>
  <c r="F43" i="8"/>
  <c r="F42" i="8" s="1"/>
  <c r="F40" i="8"/>
  <c r="J95" i="8"/>
  <c r="J109" i="8"/>
  <c r="J108" i="8" s="1"/>
  <c r="J107" i="8" s="1"/>
  <c r="J106" i="8" s="1"/>
  <c r="I108" i="8"/>
  <c r="I107" i="8" s="1"/>
  <c r="I106" i="8" s="1"/>
  <c r="J133" i="8"/>
  <c r="J132" i="8" s="1"/>
  <c r="J131" i="8" s="1"/>
  <c r="J130" i="8" s="1"/>
  <c r="I132" i="8"/>
  <c r="I131" i="8" s="1"/>
  <c r="I130" i="8" s="1"/>
  <c r="J184" i="8"/>
  <c r="J183" i="8" s="1"/>
  <c r="J182" i="8" s="1"/>
  <c r="J181" i="8" s="1"/>
  <c r="I183" i="8"/>
  <c r="I182" i="8" s="1"/>
  <c r="I181" i="8" s="1"/>
  <c r="J20" i="8"/>
  <c r="J19" i="8" s="1"/>
  <c r="I19" i="8"/>
  <c r="J10" i="8"/>
  <c r="J9" i="8" s="1"/>
  <c r="I9" i="8"/>
  <c r="J15" i="8"/>
  <c r="J13" i="8" s="1"/>
  <c r="I13" i="8"/>
  <c r="J58" i="8"/>
  <c r="J57" i="8" s="1"/>
  <c r="J56" i="8" s="1"/>
  <c r="J74" i="8"/>
  <c r="J73" i="8" s="1"/>
  <c r="I73" i="8"/>
  <c r="J126" i="8"/>
  <c r="J124" i="8" s="1"/>
  <c r="J123" i="8" s="1"/>
  <c r="J122" i="8" s="1"/>
  <c r="J121" i="8" s="1"/>
  <c r="I124" i="8"/>
  <c r="I123" i="8" s="1"/>
  <c r="I122" i="8" s="1"/>
  <c r="J144" i="8"/>
  <c r="J143" i="8" s="1"/>
  <c r="I143" i="8"/>
  <c r="J29" i="8"/>
  <c r="J28" i="8" s="1"/>
  <c r="I28" i="8"/>
  <c r="J39" i="8"/>
  <c r="J38" i="8" s="1"/>
  <c r="I38" i="8"/>
  <c r="J47" i="8"/>
  <c r="J46" i="8" s="1"/>
  <c r="J45" i="8" s="1"/>
  <c r="J44" i="8" s="1"/>
  <c r="I46" i="8"/>
  <c r="I45" i="8" s="1"/>
  <c r="I44" i="8" s="1"/>
  <c r="J67" i="8"/>
  <c r="J72" i="8"/>
  <c r="J71" i="8" s="1"/>
  <c r="I71" i="8"/>
  <c r="J85" i="8"/>
  <c r="J84" i="8" s="1"/>
  <c r="J83" i="8" s="1"/>
  <c r="J82" i="8" s="1"/>
  <c r="I84" i="8"/>
  <c r="I83" i="8" s="1"/>
  <c r="I82" i="8" s="1"/>
  <c r="J90" i="8"/>
  <c r="G121" i="8"/>
  <c r="J178" i="8"/>
  <c r="J177" i="8" s="1"/>
  <c r="J176" i="8" s="1"/>
  <c r="J175" i="8" s="1"/>
  <c r="I177" i="8"/>
  <c r="I176" i="8" s="1"/>
  <c r="I175" i="8" s="1"/>
  <c r="J199" i="8"/>
  <c r="J197" i="8" s="1"/>
  <c r="J196" i="8" s="1"/>
  <c r="J195" i="8" s="1"/>
  <c r="I197" i="8"/>
  <c r="I196" i="8" s="1"/>
  <c r="I195" i="8" s="1"/>
  <c r="J211" i="8"/>
  <c r="J210" i="8" s="1"/>
  <c r="I210" i="8"/>
  <c r="J222" i="8"/>
  <c r="J36" i="8"/>
  <c r="J35" i="8" s="1"/>
  <c r="J31" i="8" s="1"/>
  <c r="I35" i="8"/>
  <c r="J23" i="8"/>
  <c r="J22" i="8" s="1"/>
  <c r="I22" i="8"/>
  <c r="J26" i="8"/>
  <c r="J25" i="8" s="1"/>
  <c r="I25" i="8"/>
  <c r="J114" i="8"/>
  <c r="J113" i="8" s="1"/>
  <c r="J112" i="8" s="1"/>
  <c r="J111" i="8" s="1"/>
  <c r="I113" i="8"/>
  <c r="I112" i="8" s="1"/>
  <c r="I111" i="8" s="1"/>
  <c r="J140" i="8"/>
  <c r="J139" i="8" s="1"/>
  <c r="J138" i="8" s="1"/>
  <c r="J137" i="8" s="1"/>
  <c r="I139" i="8"/>
  <c r="I138" i="8" s="1"/>
  <c r="I137" i="8" s="1"/>
  <c r="J152" i="8"/>
  <c r="J149" i="8" s="1"/>
  <c r="J148" i="8" s="1"/>
  <c r="J147" i="8" s="1"/>
  <c r="I149" i="8"/>
  <c r="I148" i="8" s="1"/>
  <c r="I147" i="8" s="1"/>
  <c r="J193" i="8"/>
  <c r="J192" i="8" s="1"/>
  <c r="J191" i="8" s="1"/>
  <c r="J187" i="8" s="1"/>
  <c r="I192" i="8"/>
  <c r="I191" i="8" s="1"/>
  <c r="I187" i="8" s="1"/>
  <c r="I32" i="8"/>
  <c r="I31" i="8" s="1"/>
  <c r="I58" i="8"/>
  <c r="I57" i="8" s="1"/>
  <c r="I56" i="8" s="1"/>
  <c r="H73" i="8"/>
  <c r="H65" i="8" s="1"/>
  <c r="H64" i="8" s="1"/>
  <c r="I76" i="8"/>
  <c r="I90" i="8"/>
  <c r="I100" i="8"/>
  <c r="I99" i="8" s="1"/>
  <c r="I98" i="8" s="1"/>
  <c r="I102" i="8"/>
  <c r="I118" i="8"/>
  <c r="I117" i="8" s="1"/>
  <c r="I116" i="8" s="1"/>
  <c r="J234" i="8"/>
  <c r="J233" i="8" s="1"/>
  <c r="I233" i="8"/>
  <c r="I237" i="8"/>
  <c r="I236" i="8" s="1"/>
  <c r="I285" i="8"/>
  <c r="J287" i="8"/>
  <c r="J290" i="8"/>
  <c r="J289" i="8" s="1"/>
  <c r="I289" i="8"/>
  <c r="H9" i="8"/>
  <c r="H8" i="8" s="1"/>
  <c r="H46" i="8"/>
  <c r="H45" i="8" s="1"/>
  <c r="H44" i="8" s="1"/>
  <c r="I54" i="8"/>
  <c r="I68" i="8"/>
  <c r="J68" i="8" s="1"/>
  <c r="I96" i="8"/>
  <c r="J96" i="8" s="1"/>
  <c r="H132" i="8"/>
  <c r="H131" i="8" s="1"/>
  <c r="H130" i="8" s="1"/>
  <c r="H121" i="8" s="1"/>
  <c r="H139" i="8"/>
  <c r="H138" i="8" s="1"/>
  <c r="H137" i="8" s="1"/>
  <c r="I162" i="8"/>
  <c r="I161" i="8" s="1"/>
  <c r="I160" i="8" s="1"/>
  <c r="I171" i="8"/>
  <c r="I170" i="8" s="1"/>
  <c r="I169" i="8" s="1"/>
  <c r="H177" i="8"/>
  <c r="H176" i="8" s="1"/>
  <c r="H175" i="8" s="1"/>
  <c r="H146" i="8" s="1"/>
  <c r="I203" i="8"/>
  <c r="I209" i="8"/>
  <c r="H210" i="8"/>
  <c r="H202" i="8" s="1"/>
  <c r="H201" i="8" s="1"/>
  <c r="G221" i="8"/>
  <c r="G220" i="8" s="1"/>
  <c r="G219" i="8" s="1"/>
  <c r="G218" i="8" s="1"/>
  <c r="G42" i="8" s="1"/>
  <c r="I223" i="8"/>
  <c r="J223" i="8" s="1"/>
  <c r="I227" i="8"/>
  <c r="J227" i="8" s="1"/>
  <c r="J225" i="8" s="1"/>
  <c r="H225" i="8"/>
  <c r="I229" i="8"/>
  <c r="H228" i="8"/>
  <c r="I231" i="8"/>
  <c r="H230" i="8"/>
  <c r="J241" i="8"/>
  <c r="J240" i="8" s="1"/>
  <c r="J237" i="8" s="1"/>
  <c r="J236" i="8" s="1"/>
  <c r="G246" i="8"/>
  <c r="H22" i="8"/>
  <c r="H28" i="8"/>
  <c r="H183" i="8"/>
  <c r="H182" i="8" s="1"/>
  <c r="H181" i="8" s="1"/>
  <c r="J267" i="8"/>
  <c r="J266" i="8" s="1"/>
  <c r="I266" i="8"/>
  <c r="I271" i="8"/>
  <c r="I270" i="8" s="1"/>
  <c r="I269" i="8" s="1"/>
  <c r="J273" i="8"/>
  <c r="J271" i="8" s="1"/>
  <c r="J270" i="8" s="1"/>
  <c r="J269" i="8" s="1"/>
  <c r="J278" i="8"/>
  <c r="J277" i="8" s="1"/>
  <c r="J276" i="8" s="1"/>
  <c r="I277" i="8"/>
  <c r="I276" i="8" s="1"/>
  <c r="H305" i="8"/>
  <c r="J308" i="8"/>
  <c r="J307" i="8" s="1"/>
  <c r="J306" i="8" s="1"/>
  <c r="J305" i="8" s="1"/>
  <c r="I307" i="8"/>
  <c r="J323" i="8"/>
  <c r="J322" i="8" s="1"/>
  <c r="I322" i="8"/>
  <c r="J334" i="8"/>
  <c r="J333" i="8" s="1"/>
  <c r="J332" i="8" s="1"/>
  <c r="J331" i="8" s="1"/>
  <c r="I333" i="8"/>
  <c r="I332" i="8" s="1"/>
  <c r="I331" i="8" s="1"/>
  <c r="J380" i="8"/>
  <c r="J379" i="8" s="1"/>
  <c r="J378" i="8" s="1"/>
  <c r="I379" i="8"/>
  <c r="I378" i="8" s="1"/>
  <c r="F246" i="8"/>
  <c r="J250" i="8"/>
  <c r="J249" i="8" s="1"/>
  <c r="I249" i="8"/>
  <c r="J253" i="8"/>
  <c r="J252" i="8" s="1"/>
  <c r="I252" i="8"/>
  <c r="J262" i="8"/>
  <c r="J261" i="8" s="1"/>
  <c r="I261" i="8"/>
  <c r="I260" i="8" s="1"/>
  <c r="I259" i="8" s="1"/>
  <c r="J265" i="8"/>
  <c r="J264" i="8" s="1"/>
  <c r="I264" i="8"/>
  <c r="J285" i="8"/>
  <c r="J284" i="8" s="1"/>
  <c r="J283" i="8" s="1"/>
  <c r="J299" i="8"/>
  <c r="J298" i="8" s="1"/>
  <c r="J297" i="8" s="1"/>
  <c r="J296" i="8" s="1"/>
  <c r="I298" i="8"/>
  <c r="J321" i="8"/>
  <c r="J320" i="8" s="1"/>
  <c r="J319" i="8" s="1"/>
  <c r="J318" i="8" s="1"/>
  <c r="I320" i="8"/>
  <c r="H238" i="8"/>
  <c r="H237" i="8" s="1"/>
  <c r="H236" i="8" s="1"/>
  <c r="H240" i="8"/>
  <c r="H242" i="8"/>
  <c r="H249" i="8"/>
  <c r="H271" i="8"/>
  <c r="H270" i="8" s="1"/>
  <c r="H269" i="8" s="1"/>
  <c r="H285" i="8"/>
  <c r="J367" i="8"/>
  <c r="J366" i="8" s="1"/>
  <c r="I366" i="8"/>
  <c r="F371" i="8"/>
  <c r="H379" i="8"/>
  <c r="H378" i="8" s="1"/>
  <c r="I387" i="8"/>
  <c r="I386" i="8" s="1"/>
  <c r="G398" i="8"/>
  <c r="I355" i="8"/>
  <c r="H354" i="8"/>
  <c r="H353" i="8" s="1"/>
  <c r="H352" i="8" s="1"/>
  <c r="I364" i="8"/>
  <c r="H363" i="8"/>
  <c r="H362" i="8" s="1"/>
  <c r="H361" i="8" s="1"/>
  <c r="I401" i="8"/>
  <c r="H400" i="8"/>
  <c r="H399" i="8" s="1"/>
  <c r="H398" i="8" s="1"/>
  <c r="J413" i="8"/>
  <c r="J412" i="8" s="1"/>
  <c r="J411" i="8" s="1"/>
  <c r="I412" i="8"/>
  <c r="I411" i="8" s="1"/>
  <c r="I410" i="8" s="1"/>
  <c r="G420" i="8"/>
  <c r="J428" i="8"/>
  <c r="J427" i="8" s="1"/>
  <c r="J426" i="8" s="1"/>
  <c r="I427" i="8"/>
  <c r="I426" i="8" s="1"/>
  <c r="J442" i="8"/>
  <c r="J441" i="8" s="1"/>
  <c r="I441" i="8"/>
  <c r="I256" i="8"/>
  <c r="H264" i="8"/>
  <c r="H266" i="8"/>
  <c r="H289" i="8"/>
  <c r="H298" i="8"/>
  <c r="H297" i="8" s="1"/>
  <c r="H296" i="8" s="1"/>
  <c r="I301" i="8"/>
  <c r="I311" i="8"/>
  <c r="G370" i="8"/>
  <c r="H373" i="8"/>
  <c r="H372" i="8" s="1"/>
  <c r="H371" i="8" s="1"/>
  <c r="I375" i="8"/>
  <c r="J417" i="8"/>
  <c r="J416" i="8" s="1"/>
  <c r="J415" i="8" s="1"/>
  <c r="I416" i="8"/>
  <c r="I415" i="8" s="1"/>
  <c r="I423" i="8"/>
  <c r="H422" i="8"/>
  <c r="H421" i="8" s="1"/>
  <c r="H420" i="8" s="1"/>
  <c r="H435" i="8"/>
  <c r="H434" i="8" s="1"/>
  <c r="H433" i="8" s="1"/>
  <c r="I437" i="8"/>
  <c r="J453" i="8"/>
  <c r="J452" i="8" s="1"/>
  <c r="I452" i="8"/>
  <c r="H252" i="8"/>
  <c r="H261" i="8"/>
  <c r="H320" i="8"/>
  <c r="H322" i="8"/>
  <c r="I343" i="8"/>
  <c r="H342" i="8"/>
  <c r="I345" i="8"/>
  <c r="H344" i="8"/>
  <c r="H387" i="8"/>
  <c r="H386" i="8" s="1"/>
  <c r="H385" i="8" s="1"/>
  <c r="I394" i="8"/>
  <c r="H393" i="8"/>
  <c r="H392" i="8" s="1"/>
  <c r="F398" i="8"/>
  <c r="H410" i="8"/>
  <c r="G432" i="8"/>
  <c r="J451" i="8"/>
  <c r="J450" i="8" s="1"/>
  <c r="I450" i="8"/>
  <c r="I503" i="8"/>
  <c r="H502" i="8"/>
  <c r="H501" i="8" s="1"/>
  <c r="H500" i="8" s="1"/>
  <c r="I535" i="8"/>
  <c r="H534" i="8"/>
  <c r="H533" i="8" s="1"/>
  <c r="H532" i="8" s="1"/>
  <c r="J552" i="8"/>
  <c r="J551" i="8" s="1"/>
  <c r="I551" i="8"/>
  <c r="J583" i="8"/>
  <c r="J582" i="8" s="1"/>
  <c r="J581" i="8" s="1"/>
  <c r="J580" i="8" s="1"/>
  <c r="I582" i="8"/>
  <c r="J593" i="8"/>
  <c r="J592" i="8" s="1"/>
  <c r="J591" i="8" s="1"/>
  <c r="J598" i="8"/>
  <c r="J597" i="8" s="1"/>
  <c r="I597" i="8"/>
  <c r="J629" i="8"/>
  <c r="I627" i="8"/>
  <c r="J662" i="8"/>
  <c r="J661" i="8" s="1"/>
  <c r="J660" i="8" s="1"/>
  <c r="J659" i="8" s="1"/>
  <c r="J658" i="8" s="1"/>
  <c r="I661" i="8"/>
  <c r="I660" i="8" s="1"/>
  <c r="I659" i="8" s="1"/>
  <c r="I658" i="8" s="1"/>
  <c r="J668" i="8"/>
  <c r="J667" i="8" s="1"/>
  <c r="J666" i="8" s="1"/>
  <c r="J665" i="8" s="1"/>
  <c r="J664" i="8" s="1"/>
  <c r="I667" i="8"/>
  <c r="I666" i="8" s="1"/>
  <c r="I665" i="8" s="1"/>
  <c r="I664" i="8" s="1"/>
  <c r="I439" i="8"/>
  <c r="I449" i="8"/>
  <c r="H450" i="8"/>
  <c r="H445" i="8" s="1"/>
  <c r="H444" i="8" s="1"/>
  <c r="H452" i="8"/>
  <c r="I459" i="8"/>
  <c r="H458" i="8"/>
  <c r="H457" i="8" s="1"/>
  <c r="H456" i="8" s="1"/>
  <c r="H455" i="8" s="1"/>
  <c r="J466" i="8"/>
  <c r="J465" i="8" s="1"/>
  <c r="J464" i="8" s="1"/>
  <c r="J463" i="8" s="1"/>
  <c r="J462" i="8" s="1"/>
  <c r="I465" i="8"/>
  <c r="I464" i="8" s="1"/>
  <c r="I463" i="8" s="1"/>
  <c r="I462" i="8" s="1"/>
  <c r="J468" i="8"/>
  <c r="J467" i="8" s="1"/>
  <c r="I467" i="8"/>
  <c r="J477" i="8"/>
  <c r="J476" i="8" s="1"/>
  <c r="I476" i="8"/>
  <c r="I489" i="8"/>
  <c r="H488" i="8"/>
  <c r="J495" i="8"/>
  <c r="J494" i="8" s="1"/>
  <c r="J493" i="8" s="1"/>
  <c r="J492" i="8" s="1"/>
  <c r="I494" i="8"/>
  <c r="I493" i="8" s="1"/>
  <c r="I492" i="8" s="1"/>
  <c r="J498" i="8"/>
  <c r="J497" i="8" s="1"/>
  <c r="J530" i="8"/>
  <c r="J529" i="8" s="1"/>
  <c r="J543" i="8"/>
  <c r="J542" i="8" s="1"/>
  <c r="J541" i="8" s="1"/>
  <c r="J540" i="8" s="1"/>
  <c r="I542" i="8"/>
  <c r="I541" i="8" s="1"/>
  <c r="I540" i="8" s="1"/>
  <c r="I548" i="8"/>
  <c r="I547" i="8" s="1"/>
  <c r="I546" i="8" s="1"/>
  <c r="I474" i="8"/>
  <c r="H473" i="8"/>
  <c r="H472" i="8" s="1"/>
  <c r="H471" i="8" s="1"/>
  <c r="J479" i="8"/>
  <c r="J478" i="8" s="1"/>
  <c r="I478" i="8"/>
  <c r="G483" i="8"/>
  <c r="G482" i="8" s="1"/>
  <c r="G470" i="8" s="1"/>
  <c r="G461" i="8" s="1"/>
  <c r="I487" i="8"/>
  <c r="H486" i="8"/>
  <c r="I526" i="8"/>
  <c r="H525" i="8"/>
  <c r="H524" i="8" s="1"/>
  <c r="H523" i="8" s="1"/>
  <c r="G568" i="8"/>
  <c r="I485" i="8"/>
  <c r="H484" i="8"/>
  <c r="H491" i="8"/>
  <c r="G507" i="8"/>
  <c r="J511" i="8"/>
  <c r="J510" i="8" s="1"/>
  <c r="I510" i="8"/>
  <c r="I514" i="8"/>
  <c r="H513" i="8"/>
  <c r="J538" i="8"/>
  <c r="J537" i="8" s="1"/>
  <c r="I537" i="8"/>
  <c r="J548" i="8"/>
  <c r="J547" i="8" s="1"/>
  <c r="J546" i="8" s="1"/>
  <c r="J557" i="8"/>
  <c r="J556" i="8" s="1"/>
  <c r="J555" i="8" s="1"/>
  <c r="J554" i="8" s="1"/>
  <c r="I556" i="8"/>
  <c r="I555" i="8" s="1"/>
  <c r="I554" i="8" s="1"/>
  <c r="I578" i="8"/>
  <c r="H577" i="8"/>
  <c r="J564" i="8"/>
  <c r="J563" i="8" s="1"/>
  <c r="J562" i="8" s="1"/>
  <c r="J561" i="8" s="1"/>
  <c r="I563" i="8"/>
  <c r="I562" i="8" s="1"/>
  <c r="I561" i="8" s="1"/>
  <c r="J573" i="8"/>
  <c r="J572" i="8" s="1"/>
  <c r="I572" i="8"/>
  <c r="G601" i="8"/>
  <c r="J611" i="8"/>
  <c r="J610" i="8" s="1"/>
  <c r="I610" i="8"/>
  <c r="J616" i="8"/>
  <c r="J615" i="8" s="1"/>
  <c r="J614" i="8" s="1"/>
  <c r="J638" i="8"/>
  <c r="J637" i="8" s="1"/>
  <c r="J636" i="8" s="1"/>
  <c r="J635" i="8" s="1"/>
  <c r="J634" i="8" s="1"/>
  <c r="I637" i="8"/>
  <c r="H465" i="8"/>
  <c r="H467" i="8"/>
  <c r="H510" i="8"/>
  <c r="H542" i="8"/>
  <c r="H541" i="8" s="1"/>
  <c r="H540" i="8" s="1"/>
  <c r="H551" i="8"/>
  <c r="H571" i="8"/>
  <c r="H570" i="8" s="1"/>
  <c r="J605" i="8"/>
  <c r="J604" i="8" s="1"/>
  <c r="J603" i="8" s="1"/>
  <c r="J602" i="8" s="1"/>
  <c r="I604" i="8"/>
  <c r="J646" i="8"/>
  <c r="J645" i="8" s="1"/>
  <c r="J644" i="8" s="1"/>
  <c r="J651" i="8"/>
  <c r="J650" i="8" s="1"/>
  <c r="I650" i="8"/>
  <c r="H548" i="8"/>
  <c r="H547" i="8" s="1"/>
  <c r="H546" i="8" s="1"/>
  <c r="I576" i="8"/>
  <c r="H575" i="8"/>
  <c r="F601" i="8"/>
  <c r="F568" i="8" s="1"/>
  <c r="J627" i="8"/>
  <c r="J626" i="8" s="1"/>
  <c r="J625" i="8" s="1"/>
  <c r="J631" i="8"/>
  <c r="J630" i="8" s="1"/>
  <c r="I630" i="8"/>
  <c r="G657" i="8"/>
  <c r="J674" i="8"/>
  <c r="J673" i="8" s="1"/>
  <c r="J672" i="8" s="1"/>
  <c r="J671" i="8" s="1"/>
  <c r="J670" i="8" s="1"/>
  <c r="I673" i="8"/>
  <c r="I672" i="8" s="1"/>
  <c r="I671" i="8" s="1"/>
  <c r="I670" i="8" s="1"/>
  <c r="H587" i="8"/>
  <c r="H621" i="8"/>
  <c r="H615" i="8" s="1"/>
  <c r="H614" i="8" s="1"/>
  <c r="H647" i="8"/>
  <c r="H646" i="8" s="1"/>
  <c r="H645" i="8" s="1"/>
  <c r="H644" i="8" s="1"/>
  <c r="H667" i="8"/>
  <c r="H666" i="8" s="1"/>
  <c r="H665" i="8" s="1"/>
  <c r="H664" i="8" s="1"/>
  <c r="I677" i="8"/>
  <c r="I587" i="8"/>
  <c r="H597" i="8"/>
  <c r="H593" i="8" s="1"/>
  <c r="H592" i="8" s="1"/>
  <c r="H591" i="8" s="1"/>
  <c r="H610" i="8"/>
  <c r="I621" i="8"/>
  <c r="H627" i="8"/>
  <c r="H630" i="8"/>
  <c r="I647" i="8"/>
  <c r="H661" i="8"/>
  <c r="H660" i="8" s="1"/>
  <c r="H659" i="8" s="1"/>
  <c r="H658" i="8" s="1"/>
  <c r="F684" i="8"/>
  <c r="H582" i="8"/>
  <c r="H581" i="8" s="1"/>
  <c r="H580" i="8" s="1"/>
  <c r="I594" i="8"/>
  <c r="I593" i="8" s="1"/>
  <c r="I592" i="8" s="1"/>
  <c r="I591" i="8" s="1"/>
  <c r="H604" i="8"/>
  <c r="H603" i="8" s="1"/>
  <c r="H602" i="8" s="1"/>
  <c r="I607" i="8"/>
  <c r="I616" i="8"/>
  <c r="I615" i="8" s="1"/>
  <c r="I614" i="8" s="1"/>
  <c r="H637" i="8"/>
  <c r="H636" i="8" s="1"/>
  <c r="H635" i="8" s="1"/>
  <c r="H634" i="8" s="1"/>
  <c r="I640" i="8"/>
  <c r="H650" i="8"/>
  <c r="I653" i="8"/>
  <c r="H673" i="8"/>
  <c r="H672" i="8" s="1"/>
  <c r="H671" i="8" s="1"/>
  <c r="H670" i="8" s="1"/>
  <c r="G28" i="4"/>
  <c r="G23" i="4"/>
  <c r="J121" i="9" l="1"/>
  <c r="H43" i="9"/>
  <c r="F675" i="9"/>
  <c r="F676" i="9" s="1"/>
  <c r="H603" i="9"/>
  <c r="H602" i="9" s="1"/>
  <c r="H657" i="9"/>
  <c r="H646" i="9"/>
  <c r="H645" i="9" s="1"/>
  <c r="H644" i="9" s="1"/>
  <c r="I571" i="9"/>
  <c r="I570" i="9" s="1"/>
  <c r="J636" i="9"/>
  <c r="J635" i="9" s="1"/>
  <c r="J634" i="9" s="1"/>
  <c r="J603" i="9"/>
  <c r="J602" i="9" s="1"/>
  <c r="J601" i="9" s="1"/>
  <c r="J615" i="9"/>
  <c r="J614" i="9" s="1"/>
  <c r="I626" i="9"/>
  <c r="I625" i="9" s="1"/>
  <c r="H547" i="9"/>
  <c r="H546" i="9" s="1"/>
  <c r="J547" i="9"/>
  <c r="J546" i="9" s="1"/>
  <c r="J524" i="9"/>
  <c r="J523" i="9" s="1"/>
  <c r="J509" i="9"/>
  <c r="J508" i="9" s="1"/>
  <c r="J507" i="9" s="1"/>
  <c r="J472" i="9"/>
  <c r="J471" i="9" s="1"/>
  <c r="J470" i="9" s="1"/>
  <c r="I322" i="9"/>
  <c r="J323" i="9"/>
  <c r="J322" i="9" s="1"/>
  <c r="H248" i="9"/>
  <c r="H247" i="9" s="1"/>
  <c r="J306" i="9"/>
  <c r="J305" i="9" s="1"/>
  <c r="I260" i="9"/>
  <c r="I259" i="9" s="1"/>
  <c r="I248" i="9"/>
  <c r="I247" i="9" s="1"/>
  <c r="J284" i="9"/>
  <c r="J283" i="9" s="1"/>
  <c r="H161" i="9"/>
  <c r="H160" i="9" s="1"/>
  <c r="H146" i="9" s="1"/>
  <c r="I65" i="9"/>
  <c r="I64" i="9" s="1"/>
  <c r="I187" i="9"/>
  <c r="J18" i="9"/>
  <c r="J569" i="9"/>
  <c r="I646" i="9"/>
  <c r="I645" i="9" s="1"/>
  <c r="I644" i="9" s="1"/>
  <c r="I657" i="9"/>
  <c r="H491" i="9"/>
  <c r="H370" i="9"/>
  <c r="I410" i="9"/>
  <c r="I370" i="9" s="1"/>
  <c r="J248" i="9"/>
  <c r="J247" i="9" s="1"/>
  <c r="J246" i="9" s="1"/>
  <c r="I43" i="9"/>
  <c r="H18" i="9"/>
  <c r="H40" i="9" s="1"/>
  <c r="I202" i="9"/>
  <c r="I201" i="9" s="1"/>
  <c r="J65" i="9"/>
  <c r="J64" i="9" s="1"/>
  <c r="J43" i="9" s="1"/>
  <c r="J187" i="9"/>
  <c r="I105" i="9"/>
  <c r="I615" i="9"/>
  <c r="I614" i="9" s="1"/>
  <c r="H626" i="9"/>
  <c r="H625" i="9" s="1"/>
  <c r="I581" i="9"/>
  <c r="I580" i="9" s="1"/>
  <c r="J646" i="9"/>
  <c r="J645" i="9" s="1"/>
  <c r="J644" i="9" s="1"/>
  <c r="H470" i="9"/>
  <c r="H461" i="9" s="1"/>
  <c r="J657" i="9"/>
  <c r="I422" i="9"/>
  <c r="I421" i="9" s="1"/>
  <c r="I420" i="9" s="1"/>
  <c r="I333" i="9"/>
  <c r="I332" i="9" s="1"/>
  <c r="I331" i="9" s="1"/>
  <c r="G370" i="9"/>
  <c r="G245" i="9" s="1"/>
  <c r="G675" i="9" s="1"/>
  <c r="G676" i="9" s="1"/>
  <c r="H260" i="9"/>
  <c r="H259" i="9" s="1"/>
  <c r="J410" i="9"/>
  <c r="J371" i="9"/>
  <c r="J370" i="9" s="1"/>
  <c r="H284" i="9"/>
  <c r="H283" i="9" s="1"/>
  <c r="H282" i="9" s="1"/>
  <c r="I220" i="9"/>
  <c r="I219" i="9" s="1"/>
  <c r="I319" i="9"/>
  <c r="I318" i="9" s="1"/>
  <c r="I237" i="9"/>
  <c r="I236" i="9" s="1"/>
  <c r="J202" i="9"/>
  <c r="J201" i="9" s="1"/>
  <c r="J297" i="9"/>
  <c r="J296" i="9" s="1"/>
  <c r="I146" i="9"/>
  <c r="I8" i="9"/>
  <c r="H507" i="9"/>
  <c r="I603" i="9"/>
  <c r="I602" i="9" s="1"/>
  <c r="I601" i="9" s="1"/>
  <c r="J461" i="9"/>
  <c r="I524" i="9"/>
  <c r="I523" i="9" s="1"/>
  <c r="I507" i="9" s="1"/>
  <c r="J491" i="9"/>
  <c r="I472" i="9"/>
  <c r="I471" i="9" s="1"/>
  <c r="I470" i="9" s="1"/>
  <c r="I461" i="9" s="1"/>
  <c r="J440" i="9"/>
  <c r="J439" i="9" s="1"/>
  <c r="J434" i="9" s="1"/>
  <c r="J433" i="9" s="1"/>
  <c r="J432" i="9" s="1"/>
  <c r="I439" i="9"/>
  <c r="I434" i="9" s="1"/>
  <c r="I433" i="9" s="1"/>
  <c r="I432" i="9" s="1"/>
  <c r="J385" i="9"/>
  <c r="J319" i="9"/>
  <c r="J318" i="9" s="1"/>
  <c r="J237" i="9"/>
  <c r="J236" i="9" s="1"/>
  <c r="J218" i="9" s="1"/>
  <c r="I284" i="9"/>
  <c r="I283" i="9" s="1"/>
  <c r="I282" i="9" s="1"/>
  <c r="I121" i="9"/>
  <c r="I18" i="9"/>
  <c r="J146" i="9"/>
  <c r="J8" i="9"/>
  <c r="J40" i="9" s="1"/>
  <c r="H220" i="8"/>
  <c r="H219" i="8" s="1"/>
  <c r="H218" i="8" s="1"/>
  <c r="I646" i="8"/>
  <c r="I645" i="8" s="1"/>
  <c r="I644" i="8" s="1"/>
  <c r="H509" i="8"/>
  <c r="H508" i="8" s="1"/>
  <c r="H507" i="8" s="1"/>
  <c r="J485" i="8"/>
  <c r="J484" i="8" s="1"/>
  <c r="I484" i="8"/>
  <c r="J459" i="8"/>
  <c r="J458" i="8" s="1"/>
  <c r="J457" i="8" s="1"/>
  <c r="J456" i="8" s="1"/>
  <c r="J455" i="8" s="1"/>
  <c r="I458" i="8"/>
  <c r="I457" i="8" s="1"/>
  <c r="I456" i="8" s="1"/>
  <c r="I455" i="8" s="1"/>
  <c r="J657" i="8"/>
  <c r="J394" i="8"/>
  <c r="J393" i="8" s="1"/>
  <c r="J392" i="8" s="1"/>
  <c r="J385" i="8" s="1"/>
  <c r="I393" i="8"/>
  <c r="I392" i="8" s="1"/>
  <c r="H341" i="8"/>
  <c r="H340" i="8" s="1"/>
  <c r="H260" i="8"/>
  <c r="H259" i="8" s="1"/>
  <c r="I435" i="8"/>
  <c r="I434" i="8" s="1"/>
  <c r="I433" i="8" s="1"/>
  <c r="J437" i="8"/>
  <c r="J435" i="8" s="1"/>
  <c r="J434" i="8" s="1"/>
  <c r="J433" i="8" s="1"/>
  <c r="J401" i="8"/>
  <c r="J400" i="8" s="1"/>
  <c r="J399" i="8" s="1"/>
  <c r="J398" i="8" s="1"/>
  <c r="I400" i="8"/>
  <c r="I399" i="8" s="1"/>
  <c r="I398" i="8" s="1"/>
  <c r="J355" i="8"/>
  <c r="J354" i="8" s="1"/>
  <c r="J353" i="8" s="1"/>
  <c r="J352" i="8" s="1"/>
  <c r="I354" i="8"/>
  <c r="I353" i="8" s="1"/>
  <c r="I352" i="8" s="1"/>
  <c r="I385" i="8"/>
  <c r="G245" i="8"/>
  <c r="G675" i="8" s="1"/>
  <c r="G676" i="8" s="1"/>
  <c r="I52" i="8"/>
  <c r="I51" i="8" s="1"/>
  <c r="I50" i="8" s="1"/>
  <c r="J54" i="8"/>
  <c r="J52" i="8" s="1"/>
  <c r="J51" i="8" s="1"/>
  <c r="J50" i="8" s="1"/>
  <c r="I66" i="8"/>
  <c r="I65" i="8" s="1"/>
  <c r="I64" i="8" s="1"/>
  <c r="J8" i="8"/>
  <c r="J105" i="8"/>
  <c r="I575" i="8"/>
  <c r="I571" i="8" s="1"/>
  <c r="I570" i="8" s="1"/>
  <c r="I569" i="8" s="1"/>
  <c r="I568" i="8" s="1"/>
  <c r="J576" i="8"/>
  <c r="J575" i="8" s="1"/>
  <c r="H569" i="8"/>
  <c r="J487" i="8"/>
  <c r="J486" i="8" s="1"/>
  <c r="I486" i="8"/>
  <c r="I626" i="8"/>
  <c r="I625" i="8" s="1"/>
  <c r="J503" i="8"/>
  <c r="J502" i="8" s="1"/>
  <c r="J501" i="8" s="1"/>
  <c r="J500" i="8" s="1"/>
  <c r="J491" i="8" s="1"/>
  <c r="I502" i="8"/>
  <c r="I501" i="8" s="1"/>
  <c r="I500" i="8" s="1"/>
  <c r="I491" i="8" s="1"/>
  <c r="J343" i="8"/>
  <c r="J342" i="8" s="1"/>
  <c r="I342" i="8"/>
  <c r="H432" i="8"/>
  <c r="H284" i="8"/>
  <c r="H283" i="8" s="1"/>
  <c r="I297" i="8"/>
  <c r="I296" i="8" s="1"/>
  <c r="J229" i="8"/>
  <c r="J228" i="8" s="1"/>
  <c r="I228" i="8"/>
  <c r="H43" i="8"/>
  <c r="H42" i="8" s="1"/>
  <c r="I221" i="8"/>
  <c r="J66" i="8"/>
  <c r="J65" i="8" s="1"/>
  <c r="J64" i="8" s="1"/>
  <c r="I18" i="8"/>
  <c r="I225" i="8"/>
  <c r="I94" i="8"/>
  <c r="H626" i="8"/>
  <c r="H625" i="8" s="1"/>
  <c r="I603" i="8"/>
  <c r="I602" i="8" s="1"/>
  <c r="I601" i="8" s="1"/>
  <c r="H464" i="8"/>
  <c r="H463" i="8" s="1"/>
  <c r="H462" i="8" s="1"/>
  <c r="J571" i="8"/>
  <c r="J570" i="8" s="1"/>
  <c r="J569" i="8" s="1"/>
  <c r="I577" i="8"/>
  <c r="J578" i="8"/>
  <c r="J577" i="8" s="1"/>
  <c r="J514" i="8"/>
  <c r="J513" i="8" s="1"/>
  <c r="J509" i="8" s="1"/>
  <c r="J508" i="8" s="1"/>
  <c r="J507" i="8" s="1"/>
  <c r="I513" i="8"/>
  <c r="J474" i="8"/>
  <c r="J473" i="8" s="1"/>
  <c r="J472" i="8" s="1"/>
  <c r="J471" i="8" s="1"/>
  <c r="I473" i="8"/>
  <c r="I472" i="8" s="1"/>
  <c r="I471" i="8" s="1"/>
  <c r="I581" i="8"/>
  <c r="I580" i="8" s="1"/>
  <c r="J375" i="8"/>
  <c r="J373" i="8" s="1"/>
  <c r="J372" i="8" s="1"/>
  <c r="J371" i="8" s="1"/>
  <c r="I373" i="8"/>
  <c r="I372" i="8" s="1"/>
  <c r="I371" i="8" s="1"/>
  <c r="J410" i="8"/>
  <c r="J364" i="8"/>
  <c r="J363" i="8" s="1"/>
  <c r="J362" i="8" s="1"/>
  <c r="J361" i="8" s="1"/>
  <c r="I363" i="8"/>
  <c r="I362" i="8" s="1"/>
  <c r="I361" i="8" s="1"/>
  <c r="F370" i="8"/>
  <c r="F245" i="8" s="1"/>
  <c r="F675" i="8" s="1"/>
  <c r="F676" i="8" s="1"/>
  <c r="I248" i="8"/>
  <c r="I247" i="8" s="1"/>
  <c r="I246" i="8" s="1"/>
  <c r="H18" i="8"/>
  <c r="H40" i="8" s="1"/>
  <c r="I89" i="8"/>
  <c r="I88" i="8" s="1"/>
  <c r="J221" i="8"/>
  <c r="I43" i="8"/>
  <c r="J18" i="8"/>
  <c r="J94" i="8"/>
  <c r="H601" i="8"/>
  <c r="H657" i="8"/>
  <c r="J601" i="8"/>
  <c r="I636" i="8"/>
  <c r="I635" i="8" s="1"/>
  <c r="I634" i="8" s="1"/>
  <c r="I509" i="8"/>
  <c r="I508" i="8" s="1"/>
  <c r="H483" i="8"/>
  <c r="H482" i="8" s="1"/>
  <c r="H470" i="8" s="1"/>
  <c r="J526" i="8"/>
  <c r="J525" i="8" s="1"/>
  <c r="J524" i="8" s="1"/>
  <c r="J523" i="8" s="1"/>
  <c r="I525" i="8"/>
  <c r="I524" i="8" s="1"/>
  <c r="I523" i="8" s="1"/>
  <c r="J489" i="8"/>
  <c r="J488" i="8" s="1"/>
  <c r="I488" i="8"/>
  <c r="J449" i="8"/>
  <c r="J446" i="8" s="1"/>
  <c r="J445" i="8" s="1"/>
  <c r="J444" i="8" s="1"/>
  <c r="I446" i="8"/>
  <c r="I445" i="8" s="1"/>
  <c r="I444" i="8" s="1"/>
  <c r="I657" i="8"/>
  <c r="J535" i="8"/>
  <c r="J534" i="8" s="1"/>
  <c r="J533" i="8" s="1"/>
  <c r="J532" i="8" s="1"/>
  <c r="I534" i="8"/>
  <c r="I533" i="8" s="1"/>
  <c r="I532" i="8" s="1"/>
  <c r="J345" i="8"/>
  <c r="J344" i="8" s="1"/>
  <c r="I344" i="8"/>
  <c r="H319" i="8"/>
  <c r="H318" i="8" s="1"/>
  <c r="J423" i="8"/>
  <c r="J422" i="8" s="1"/>
  <c r="J421" i="8" s="1"/>
  <c r="J420" i="8" s="1"/>
  <c r="I422" i="8"/>
  <c r="I421" i="8" s="1"/>
  <c r="I420" i="8" s="1"/>
  <c r="H370" i="8"/>
  <c r="H248" i="8"/>
  <c r="H247" i="8" s="1"/>
  <c r="H246" i="8" s="1"/>
  <c r="I319" i="8"/>
  <c r="I318" i="8" s="1"/>
  <c r="J260" i="8"/>
  <c r="J259" i="8" s="1"/>
  <c r="J248" i="8"/>
  <c r="J247" i="8" s="1"/>
  <c r="J246" i="8" s="1"/>
  <c r="I306" i="8"/>
  <c r="I305" i="8" s="1"/>
  <c r="J231" i="8"/>
  <c r="J230" i="8" s="1"/>
  <c r="I230" i="8"/>
  <c r="I207" i="8"/>
  <c r="I202" i="8" s="1"/>
  <c r="I201" i="8" s="1"/>
  <c r="I146" i="8" s="1"/>
  <c r="J209" i="8"/>
  <c r="J207" i="8" s="1"/>
  <c r="J202" i="8" s="1"/>
  <c r="J201" i="8" s="1"/>
  <c r="J146" i="8" s="1"/>
  <c r="I284" i="8"/>
  <c r="I283" i="8" s="1"/>
  <c r="J89" i="8"/>
  <c r="J88" i="8" s="1"/>
  <c r="J43" i="8"/>
  <c r="I121" i="8"/>
  <c r="I8" i="8"/>
  <c r="I40" i="8" s="1"/>
  <c r="I105" i="8"/>
  <c r="D22" i="2"/>
  <c r="H204" i="5"/>
  <c r="J42" i="9" l="1"/>
  <c r="J675" i="9" s="1"/>
  <c r="J676" i="9" s="1"/>
  <c r="I218" i="9"/>
  <c r="I42" i="9" s="1"/>
  <c r="I675" i="9" s="1"/>
  <c r="J568" i="9"/>
  <c r="H42" i="9"/>
  <c r="I40" i="9"/>
  <c r="H601" i="9"/>
  <c r="H568" i="9" s="1"/>
  <c r="J282" i="9"/>
  <c r="H246" i="9"/>
  <c r="H245" i="9" s="1"/>
  <c r="I569" i="9"/>
  <c r="I568" i="9" s="1"/>
  <c r="J245" i="9"/>
  <c r="I246" i="9"/>
  <c r="I245" i="9" s="1"/>
  <c r="J568" i="8"/>
  <c r="I220" i="8"/>
  <c r="I219" i="8" s="1"/>
  <c r="I218" i="8" s="1"/>
  <c r="I42" i="8" s="1"/>
  <c r="J341" i="8"/>
  <c r="J340" i="8" s="1"/>
  <c r="J282" i="8" s="1"/>
  <c r="J245" i="8" s="1"/>
  <c r="I432" i="8"/>
  <c r="I507" i="8"/>
  <c r="J220" i="8"/>
  <c r="J219" i="8" s="1"/>
  <c r="J218" i="8" s="1"/>
  <c r="J42" i="8" s="1"/>
  <c r="H461" i="8"/>
  <c r="H282" i="8"/>
  <c r="H245" i="8" s="1"/>
  <c r="I483" i="8"/>
  <c r="I482" i="8" s="1"/>
  <c r="I370" i="8"/>
  <c r="I470" i="8"/>
  <c r="I461" i="8" s="1"/>
  <c r="H568" i="8"/>
  <c r="J40" i="8"/>
  <c r="J483" i="8"/>
  <c r="J482" i="8" s="1"/>
  <c r="J470" i="8" s="1"/>
  <c r="J461" i="8" s="1"/>
  <c r="J370" i="8"/>
  <c r="I341" i="8"/>
  <c r="I340" i="8" s="1"/>
  <c r="I282" i="8" s="1"/>
  <c r="I245" i="8" s="1"/>
  <c r="J432" i="8"/>
  <c r="G27" i="1"/>
  <c r="I676" i="9" l="1"/>
  <c r="I685" i="9" s="1"/>
  <c r="H675" i="9"/>
  <c r="H676" i="9" s="1"/>
  <c r="H675" i="8"/>
  <c r="H676" i="8" s="1"/>
  <c r="I675" i="8"/>
  <c r="I676" i="8" s="1"/>
  <c r="I685" i="8" s="1"/>
  <c r="J675" i="8"/>
  <c r="J676" i="8" s="1"/>
  <c r="I681" i="7"/>
  <c r="I678" i="7"/>
  <c r="F681" i="7"/>
  <c r="F678" i="7"/>
  <c r="H674" i="7"/>
  <c r="I674" i="7" s="1"/>
  <c r="J674" i="7" s="1"/>
  <c r="J673" i="7" s="1"/>
  <c r="J672" i="7" s="1"/>
  <c r="J671" i="7" s="1"/>
  <c r="J670" i="7" s="1"/>
  <c r="G673" i="7"/>
  <c r="G672" i="7" s="1"/>
  <c r="G671" i="7" s="1"/>
  <c r="G670" i="7" s="1"/>
  <c r="F673" i="7"/>
  <c r="F672" i="7" s="1"/>
  <c r="F671" i="7" s="1"/>
  <c r="F670" i="7" s="1"/>
  <c r="H668" i="7"/>
  <c r="I668" i="7" s="1"/>
  <c r="G667" i="7"/>
  <c r="G666" i="7" s="1"/>
  <c r="G665" i="7" s="1"/>
  <c r="G664" i="7" s="1"/>
  <c r="F667" i="7"/>
  <c r="F666" i="7" s="1"/>
  <c r="F665" i="7" s="1"/>
  <c r="F664" i="7" s="1"/>
  <c r="H662" i="7"/>
  <c r="H661" i="7" s="1"/>
  <c r="H660" i="7" s="1"/>
  <c r="H659" i="7" s="1"/>
  <c r="H658" i="7" s="1"/>
  <c r="G661" i="7"/>
  <c r="G660" i="7" s="1"/>
  <c r="G659" i="7" s="1"/>
  <c r="G658" i="7" s="1"/>
  <c r="F661" i="7"/>
  <c r="F660" i="7" s="1"/>
  <c r="F659" i="7" s="1"/>
  <c r="F658" i="7" s="1"/>
  <c r="H655" i="7"/>
  <c r="I655" i="7" s="1"/>
  <c r="J655" i="7" s="1"/>
  <c r="H654" i="7"/>
  <c r="G653" i="7"/>
  <c r="F653" i="7"/>
  <c r="H652" i="7"/>
  <c r="H651" i="7"/>
  <c r="I651" i="7" s="1"/>
  <c r="J651" i="7" s="1"/>
  <c r="G650" i="7"/>
  <c r="F650" i="7"/>
  <c r="H649" i="7"/>
  <c r="I649" i="7" s="1"/>
  <c r="J649" i="7" s="1"/>
  <c r="H648" i="7"/>
  <c r="I648" i="7" s="1"/>
  <c r="G647" i="7"/>
  <c r="F647" i="7"/>
  <c r="F646" i="7" s="1"/>
  <c r="F645" i="7" s="1"/>
  <c r="F644" i="7" s="1"/>
  <c r="H642" i="7"/>
  <c r="I642" i="7" s="1"/>
  <c r="J642" i="7" s="1"/>
  <c r="H641" i="7"/>
  <c r="G640" i="7"/>
  <c r="F640" i="7"/>
  <c r="H639" i="7"/>
  <c r="H638" i="7"/>
  <c r="I638" i="7" s="1"/>
  <c r="J638" i="7" s="1"/>
  <c r="G637" i="7"/>
  <c r="G636" i="7" s="1"/>
  <c r="G635" i="7" s="1"/>
  <c r="G634" i="7" s="1"/>
  <c r="F637" i="7"/>
  <c r="H632" i="7"/>
  <c r="I632" i="7" s="1"/>
  <c r="J632" i="7" s="1"/>
  <c r="H631" i="7"/>
  <c r="G630" i="7"/>
  <c r="F630" i="7"/>
  <c r="H629" i="7"/>
  <c r="I629" i="7" s="1"/>
  <c r="J629" i="7" s="1"/>
  <c r="H628" i="7"/>
  <c r="G628" i="7"/>
  <c r="F627" i="7"/>
  <c r="H623" i="7"/>
  <c r="I623" i="7" s="1"/>
  <c r="J623" i="7" s="1"/>
  <c r="H622" i="7"/>
  <c r="G621" i="7"/>
  <c r="F621" i="7"/>
  <c r="H619" i="7"/>
  <c r="I619" i="7" s="1"/>
  <c r="J619" i="7" s="1"/>
  <c r="H618" i="7"/>
  <c r="I618" i="7" s="1"/>
  <c r="J618" i="7" s="1"/>
  <c r="H617" i="7"/>
  <c r="G616" i="7"/>
  <c r="F616" i="7"/>
  <c r="H612" i="7"/>
  <c r="I612" i="7" s="1"/>
  <c r="J612" i="7" s="1"/>
  <c r="H611" i="7"/>
  <c r="I611" i="7" s="1"/>
  <c r="G610" i="7"/>
  <c r="F610" i="7"/>
  <c r="H609" i="7"/>
  <c r="I609" i="7" s="1"/>
  <c r="J609" i="7" s="1"/>
  <c r="H608" i="7"/>
  <c r="G607" i="7"/>
  <c r="F607" i="7"/>
  <c r="H606" i="7"/>
  <c r="H605" i="7"/>
  <c r="I605" i="7" s="1"/>
  <c r="J605" i="7" s="1"/>
  <c r="G604" i="7"/>
  <c r="G603" i="7" s="1"/>
  <c r="G602" i="7" s="1"/>
  <c r="F604" i="7"/>
  <c r="H599" i="7"/>
  <c r="I599" i="7" s="1"/>
  <c r="J599" i="7" s="1"/>
  <c r="H598" i="7"/>
  <c r="I598" i="7" s="1"/>
  <c r="G597" i="7"/>
  <c r="F597" i="7"/>
  <c r="H596" i="7"/>
  <c r="I596" i="7" s="1"/>
  <c r="J596" i="7" s="1"/>
  <c r="H595" i="7"/>
  <c r="G594" i="7"/>
  <c r="F594" i="7"/>
  <c r="F593" i="7" s="1"/>
  <c r="F592" i="7" s="1"/>
  <c r="F591" i="7" s="1"/>
  <c r="H589" i="7"/>
  <c r="I589" i="7" s="1"/>
  <c r="J589" i="7" s="1"/>
  <c r="H588" i="7"/>
  <c r="I588" i="7" s="1"/>
  <c r="J588" i="7" s="1"/>
  <c r="G587" i="7"/>
  <c r="F587" i="7"/>
  <c r="H586" i="7"/>
  <c r="I586" i="7" s="1"/>
  <c r="J586" i="7" s="1"/>
  <c r="H585" i="7"/>
  <c r="I585" i="7" s="1"/>
  <c r="J585" i="7" s="1"/>
  <c r="H584" i="7"/>
  <c r="I584" i="7" s="1"/>
  <c r="J584" i="7" s="1"/>
  <c r="H583" i="7"/>
  <c r="I583" i="7" s="1"/>
  <c r="J583" i="7" s="1"/>
  <c r="G582" i="7"/>
  <c r="F582" i="7"/>
  <c r="H578" i="7"/>
  <c r="I578" i="7" s="1"/>
  <c r="G577" i="7"/>
  <c r="F577" i="7"/>
  <c r="H576" i="7"/>
  <c r="H575" i="7" s="1"/>
  <c r="G575" i="7"/>
  <c r="F575" i="7"/>
  <c r="H574" i="7"/>
  <c r="I574" i="7" s="1"/>
  <c r="J574" i="7" s="1"/>
  <c r="H573" i="7"/>
  <c r="G572" i="7"/>
  <c r="F572" i="7"/>
  <c r="H566" i="7"/>
  <c r="I566" i="7" s="1"/>
  <c r="J566" i="7" s="1"/>
  <c r="H565" i="7"/>
  <c r="I565" i="7" s="1"/>
  <c r="J565" i="7" s="1"/>
  <c r="H564" i="7"/>
  <c r="I564" i="7" s="1"/>
  <c r="J564" i="7" s="1"/>
  <c r="G563" i="7"/>
  <c r="G562" i="7" s="1"/>
  <c r="G561" i="7" s="1"/>
  <c r="F563" i="7"/>
  <c r="F562" i="7" s="1"/>
  <c r="F561" i="7" s="1"/>
  <c r="H559" i="7"/>
  <c r="I559" i="7" s="1"/>
  <c r="J559" i="7" s="1"/>
  <c r="H558" i="7"/>
  <c r="I558" i="7" s="1"/>
  <c r="J558" i="7" s="1"/>
  <c r="H557" i="7"/>
  <c r="I557" i="7" s="1"/>
  <c r="G556" i="7"/>
  <c r="G555" i="7" s="1"/>
  <c r="G554" i="7" s="1"/>
  <c r="F556" i="7"/>
  <c r="F555" i="7" s="1"/>
  <c r="F554" i="7" s="1"/>
  <c r="H552" i="7"/>
  <c r="I552" i="7" s="1"/>
  <c r="G551" i="7"/>
  <c r="F551" i="7"/>
  <c r="H550" i="7"/>
  <c r="H549" i="7"/>
  <c r="I549" i="7" s="1"/>
  <c r="J549" i="7" s="1"/>
  <c r="G548" i="7"/>
  <c r="G547" i="7" s="1"/>
  <c r="G546" i="7" s="1"/>
  <c r="F548" i="7"/>
  <c r="H544" i="7"/>
  <c r="I544" i="7" s="1"/>
  <c r="J544" i="7" s="1"/>
  <c r="H543" i="7"/>
  <c r="I543" i="7" s="1"/>
  <c r="G542" i="7"/>
  <c r="G541" i="7" s="1"/>
  <c r="G540" i="7" s="1"/>
  <c r="F542" i="7"/>
  <c r="F541" i="7" s="1"/>
  <c r="F540" i="7" s="1"/>
  <c r="H538" i="7"/>
  <c r="I538" i="7" s="1"/>
  <c r="G537" i="7"/>
  <c r="F537" i="7"/>
  <c r="H536" i="7"/>
  <c r="I536" i="7" s="1"/>
  <c r="J536" i="7" s="1"/>
  <c r="H535" i="7"/>
  <c r="I535" i="7" s="1"/>
  <c r="J535" i="7" s="1"/>
  <c r="G534" i="7"/>
  <c r="G533" i="7" s="1"/>
  <c r="G532" i="7" s="1"/>
  <c r="F534" i="7"/>
  <c r="H530" i="7"/>
  <c r="H529" i="7" s="1"/>
  <c r="G529" i="7"/>
  <c r="F529" i="7"/>
  <c r="H528" i="7"/>
  <c r="I528" i="7" s="1"/>
  <c r="J528" i="7" s="1"/>
  <c r="H527" i="7"/>
  <c r="I527" i="7" s="1"/>
  <c r="J527" i="7" s="1"/>
  <c r="H526" i="7"/>
  <c r="G525" i="7"/>
  <c r="F525" i="7"/>
  <c r="H521" i="7"/>
  <c r="I521" i="7" s="1"/>
  <c r="J521" i="7" s="1"/>
  <c r="J520" i="7" s="1"/>
  <c r="G520" i="7"/>
  <c r="F520" i="7"/>
  <c r="H519" i="7"/>
  <c r="H518" i="7" s="1"/>
  <c r="G518" i="7"/>
  <c r="F518" i="7"/>
  <c r="H514" i="7"/>
  <c r="I514" i="7" s="1"/>
  <c r="G513" i="7"/>
  <c r="F513" i="7"/>
  <c r="H512" i="7"/>
  <c r="I512" i="7" s="1"/>
  <c r="J512" i="7" s="1"/>
  <c r="H511" i="7"/>
  <c r="G510" i="7"/>
  <c r="G509" i="7" s="1"/>
  <c r="G508" i="7" s="1"/>
  <c r="F510" i="7"/>
  <c r="H505" i="7"/>
  <c r="I505" i="7" s="1"/>
  <c r="J505" i="7" s="1"/>
  <c r="H504" i="7"/>
  <c r="I504" i="7" s="1"/>
  <c r="J504" i="7" s="1"/>
  <c r="H503" i="7"/>
  <c r="I503" i="7" s="1"/>
  <c r="G502" i="7"/>
  <c r="G501" i="7" s="1"/>
  <c r="G500" i="7" s="1"/>
  <c r="F502" i="7"/>
  <c r="F501" i="7" s="1"/>
  <c r="F500" i="7" s="1"/>
  <c r="H498" i="7"/>
  <c r="I498" i="7" s="1"/>
  <c r="G497" i="7"/>
  <c r="F497" i="7"/>
  <c r="H496" i="7"/>
  <c r="I496" i="7" s="1"/>
  <c r="J496" i="7" s="1"/>
  <c r="H495" i="7"/>
  <c r="G494" i="7"/>
  <c r="G493" i="7" s="1"/>
  <c r="G492" i="7" s="1"/>
  <c r="F494" i="7"/>
  <c r="H489" i="7"/>
  <c r="I489" i="7" s="1"/>
  <c r="G488" i="7"/>
  <c r="F488" i="7"/>
  <c r="H487" i="7"/>
  <c r="I487" i="7" s="1"/>
  <c r="G486" i="7"/>
  <c r="F486" i="7"/>
  <c r="H485" i="7"/>
  <c r="H484" i="7" s="1"/>
  <c r="G484" i="7"/>
  <c r="F484" i="7"/>
  <c r="H480" i="7"/>
  <c r="I480" i="7" s="1"/>
  <c r="J480" i="7" s="1"/>
  <c r="H479" i="7"/>
  <c r="I479" i="7" s="1"/>
  <c r="G478" i="7"/>
  <c r="F478" i="7"/>
  <c r="H477" i="7"/>
  <c r="H476" i="7" s="1"/>
  <c r="G476" i="7"/>
  <c r="F476" i="7"/>
  <c r="H475" i="7"/>
  <c r="I475" i="7" s="1"/>
  <c r="J475" i="7" s="1"/>
  <c r="H474" i="7"/>
  <c r="G473" i="7"/>
  <c r="F473" i="7"/>
  <c r="H468" i="7"/>
  <c r="I468" i="7" s="1"/>
  <c r="J468" i="7" s="1"/>
  <c r="J467" i="7" s="1"/>
  <c r="G467" i="7"/>
  <c r="F467" i="7"/>
  <c r="H466" i="7"/>
  <c r="H465" i="7" s="1"/>
  <c r="G465" i="7"/>
  <c r="F465" i="7"/>
  <c r="H459" i="7"/>
  <c r="I459" i="7" s="1"/>
  <c r="J459" i="7" s="1"/>
  <c r="J458" i="7" s="1"/>
  <c r="J457" i="7" s="1"/>
  <c r="J456" i="7" s="1"/>
  <c r="J455" i="7" s="1"/>
  <c r="G458" i="7"/>
  <c r="G457" i="7" s="1"/>
  <c r="G456" i="7" s="1"/>
  <c r="G455" i="7" s="1"/>
  <c r="F458" i="7"/>
  <c r="F457" i="7" s="1"/>
  <c r="F456" i="7" s="1"/>
  <c r="F455" i="7" s="1"/>
  <c r="H453" i="7"/>
  <c r="I453" i="7" s="1"/>
  <c r="G452" i="7"/>
  <c r="F452" i="7"/>
  <c r="H451" i="7"/>
  <c r="I451" i="7" s="1"/>
  <c r="G450" i="7"/>
  <c r="F450" i="7"/>
  <c r="H449" i="7"/>
  <c r="I449" i="7" s="1"/>
  <c r="J449" i="7" s="1"/>
  <c r="H448" i="7"/>
  <c r="I448" i="7" s="1"/>
  <c r="J448" i="7" s="1"/>
  <c r="H447" i="7"/>
  <c r="I447" i="7" s="1"/>
  <c r="G446" i="7"/>
  <c r="F446" i="7"/>
  <c r="H442" i="7"/>
  <c r="H441" i="7" s="1"/>
  <c r="G442" i="7"/>
  <c r="G441" i="7" s="1"/>
  <c r="F441" i="7"/>
  <c r="H440" i="7"/>
  <c r="I440" i="7" s="1"/>
  <c r="J440" i="7" s="1"/>
  <c r="J439" i="7" s="1"/>
  <c r="G439" i="7"/>
  <c r="F439" i="7"/>
  <c r="H438" i="7"/>
  <c r="I438" i="7" s="1"/>
  <c r="J438" i="7" s="1"/>
  <c r="H437" i="7"/>
  <c r="I437" i="7" s="1"/>
  <c r="J437" i="7" s="1"/>
  <c r="H436" i="7"/>
  <c r="I436" i="7" s="1"/>
  <c r="J436" i="7" s="1"/>
  <c r="G435" i="7"/>
  <c r="F435" i="7"/>
  <c r="H430" i="7"/>
  <c r="G430" i="7"/>
  <c r="G427" i="7" s="1"/>
  <c r="G426" i="7" s="1"/>
  <c r="H429" i="7"/>
  <c r="H428" i="7"/>
  <c r="I428" i="7" s="1"/>
  <c r="J428" i="7" s="1"/>
  <c r="F427" i="7"/>
  <c r="F426" i="7" s="1"/>
  <c r="H425" i="7"/>
  <c r="I425" i="7" s="1"/>
  <c r="J425" i="7" s="1"/>
  <c r="H424" i="7"/>
  <c r="I424" i="7" s="1"/>
  <c r="J424" i="7" s="1"/>
  <c r="H423" i="7"/>
  <c r="I423" i="7" s="1"/>
  <c r="G422" i="7"/>
  <c r="G421" i="7" s="1"/>
  <c r="F422" i="7"/>
  <c r="F421" i="7" s="1"/>
  <c r="H418" i="7"/>
  <c r="H417" i="7"/>
  <c r="I417" i="7" s="1"/>
  <c r="J417" i="7" s="1"/>
  <c r="G416" i="7"/>
  <c r="G415" i="7" s="1"/>
  <c r="F416" i="7"/>
  <c r="F415" i="7" s="1"/>
  <c r="H414" i="7"/>
  <c r="H413" i="7"/>
  <c r="I413" i="7" s="1"/>
  <c r="J413" i="7" s="1"/>
  <c r="G412" i="7"/>
  <c r="G411" i="7" s="1"/>
  <c r="F412" i="7"/>
  <c r="F411" i="7" s="1"/>
  <c r="H408" i="7"/>
  <c r="I408" i="7" s="1"/>
  <c r="J408" i="7" s="1"/>
  <c r="H407" i="7"/>
  <c r="I407" i="7" s="1"/>
  <c r="G406" i="7"/>
  <c r="G405" i="7" s="1"/>
  <c r="F406" i="7"/>
  <c r="F405" i="7" s="1"/>
  <c r="H404" i="7"/>
  <c r="I404" i="7" s="1"/>
  <c r="J404" i="7" s="1"/>
  <c r="H403" i="7"/>
  <c r="I403" i="7" s="1"/>
  <c r="J403" i="7" s="1"/>
  <c r="H402" i="7"/>
  <c r="I402" i="7" s="1"/>
  <c r="J402" i="7" s="1"/>
  <c r="H401" i="7"/>
  <c r="I401" i="7" s="1"/>
  <c r="G400" i="7"/>
  <c r="G399" i="7" s="1"/>
  <c r="F400" i="7"/>
  <c r="F399" i="7" s="1"/>
  <c r="H396" i="7"/>
  <c r="I396" i="7" s="1"/>
  <c r="J396" i="7" s="1"/>
  <c r="H395" i="7"/>
  <c r="I395" i="7" s="1"/>
  <c r="J395" i="7" s="1"/>
  <c r="H394" i="7"/>
  <c r="I394" i="7" s="1"/>
  <c r="G393" i="7"/>
  <c r="G392" i="7" s="1"/>
  <c r="F393" i="7"/>
  <c r="F392" i="7" s="1"/>
  <c r="H391" i="7"/>
  <c r="I391" i="7" s="1"/>
  <c r="J391" i="7" s="1"/>
  <c r="H390" i="7"/>
  <c r="I390" i="7" s="1"/>
  <c r="J390" i="7" s="1"/>
  <c r="H389" i="7"/>
  <c r="I389" i="7" s="1"/>
  <c r="J389" i="7" s="1"/>
  <c r="H388" i="7"/>
  <c r="I388" i="7" s="1"/>
  <c r="G387" i="7"/>
  <c r="G386" i="7" s="1"/>
  <c r="F387" i="7"/>
  <c r="F386" i="7" s="1"/>
  <c r="H383" i="7"/>
  <c r="I383" i="7" s="1"/>
  <c r="J383" i="7" s="1"/>
  <c r="H382" i="7"/>
  <c r="I382" i="7" s="1"/>
  <c r="J382" i="7" s="1"/>
  <c r="H381" i="7"/>
  <c r="H380" i="7"/>
  <c r="I380" i="7" s="1"/>
  <c r="J380" i="7" s="1"/>
  <c r="G379" i="7"/>
  <c r="G378" i="7" s="1"/>
  <c r="F379" i="7"/>
  <c r="F378" i="7" s="1"/>
  <c r="H377" i="7"/>
  <c r="I377" i="7" s="1"/>
  <c r="J377" i="7" s="1"/>
  <c r="H376" i="7"/>
  <c r="I376" i="7" s="1"/>
  <c r="J376" i="7" s="1"/>
  <c r="H375" i="7"/>
  <c r="I375" i="7" s="1"/>
  <c r="J375" i="7" s="1"/>
  <c r="H374" i="7"/>
  <c r="I374" i="7" s="1"/>
  <c r="J374" i="7" s="1"/>
  <c r="G373" i="7"/>
  <c r="G372" i="7" s="1"/>
  <c r="F373" i="7"/>
  <c r="F372" i="7" s="1"/>
  <c r="H368" i="7"/>
  <c r="H367" i="7"/>
  <c r="I367" i="7" s="1"/>
  <c r="J367" i="7" s="1"/>
  <c r="G366" i="7"/>
  <c r="F366" i="7"/>
  <c r="H365" i="7"/>
  <c r="I365" i="7" s="1"/>
  <c r="J365" i="7" s="1"/>
  <c r="H364" i="7"/>
  <c r="I364" i="7" s="1"/>
  <c r="G363" i="7"/>
  <c r="F363" i="7"/>
  <c r="F362" i="7" s="1"/>
  <c r="F361" i="7" s="1"/>
  <c r="H359" i="7"/>
  <c r="I359" i="7" s="1"/>
  <c r="G358" i="7"/>
  <c r="F358" i="7"/>
  <c r="H357" i="7"/>
  <c r="I357" i="7" s="1"/>
  <c r="J357" i="7" s="1"/>
  <c r="H356" i="7"/>
  <c r="I356" i="7" s="1"/>
  <c r="J356" i="7" s="1"/>
  <c r="H355" i="7"/>
  <c r="I355" i="7" s="1"/>
  <c r="G354" i="7"/>
  <c r="F354" i="7"/>
  <c r="H350" i="7"/>
  <c r="I350" i="7" s="1"/>
  <c r="G349" i="7"/>
  <c r="G348" i="7" s="1"/>
  <c r="G347" i="7" s="1"/>
  <c r="F349" i="7"/>
  <c r="F348" i="7" s="1"/>
  <c r="F347" i="7" s="1"/>
  <c r="H345" i="7"/>
  <c r="I345" i="7" s="1"/>
  <c r="G344" i="7"/>
  <c r="F344" i="7"/>
  <c r="H343" i="7"/>
  <c r="I343" i="7" s="1"/>
  <c r="G342" i="7"/>
  <c r="F342" i="7"/>
  <c r="H338" i="7"/>
  <c r="G337" i="7"/>
  <c r="F337" i="7"/>
  <c r="H336" i="7"/>
  <c r="I336" i="7" s="1"/>
  <c r="J336" i="7" s="1"/>
  <c r="H335" i="7"/>
  <c r="I335" i="7" s="1"/>
  <c r="J335" i="7" s="1"/>
  <c r="H334" i="7"/>
  <c r="G333" i="7"/>
  <c r="F333" i="7"/>
  <c r="H329" i="7"/>
  <c r="G328" i="7"/>
  <c r="G327" i="7" s="1"/>
  <c r="G326" i="7" s="1"/>
  <c r="F328" i="7"/>
  <c r="F327" i="7" s="1"/>
  <c r="F326" i="7" s="1"/>
  <c r="H324" i="7"/>
  <c r="I324" i="7" s="1"/>
  <c r="J324" i="7" s="1"/>
  <c r="H323" i="7"/>
  <c r="I323" i="7" s="1"/>
  <c r="G322" i="7"/>
  <c r="F322" i="7"/>
  <c r="H321" i="7"/>
  <c r="H320" i="7" s="1"/>
  <c r="G320" i="7"/>
  <c r="F320" i="7"/>
  <c r="H316" i="7"/>
  <c r="H315" i="7" s="1"/>
  <c r="H314" i="7" s="1"/>
  <c r="G315" i="7"/>
  <c r="G314" i="7" s="1"/>
  <c r="F315" i="7"/>
  <c r="F314" i="7" s="1"/>
  <c r="H313" i="7"/>
  <c r="I313" i="7" s="1"/>
  <c r="J313" i="7" s="1"/>
  <c r="H312" i="7"/>
  <c r="I312" i="7" s="1"/>
  <c r="G311" i="7"/>
  <c r="F311" i="7"/>
  <c r="H310" i="7"/>
  <c r="G310" i="7"/>
  <c r="G307" i="7" s="1"/>
  <c r="H309" i="7"/>
  <c r="I309" i="7" s="1"/>
  <c r="J309" i="7" s="1"/>
  <c r="H308" i="7"/>
  <c r="F307" i="7"/>
  <c r="H303" i="7"/>
  <c r="I303" i="7" s="1"/>
  <c r="J303" i="7" s="1"/>
  <c r="H302" i="7"/>
  <c r="I302" i="7" s="1"/>
  <c r="G301" i="7"/>
  <c r="F301" i="7"/>
  <c r="H300" i="7"/>
  <c r="I300" i="7" s="1"/>
  <c r="J300" i="7" s="1"/>
  <c r="H299" i="7"/>
  <c r="G298" i="7"/>
  <c r="F298" i="7"/>
  <c r="F297" i="7" s="1"/>
  <c r="F296" i="7" s="1"/>
  <c r="H294" i="7"/>
  <c r="G293" i="7"/>
  <c r="F293" i="7"/>
  <c r="H292" i="7"/>
  <c r="I292" i="7" s="1"/>
  <c r="J292" i="7" s="1"/>
  <c r="H291" i="7"/>
  <c r="I291" i="7" s="1"/>
  <c r="J291" i="7" s="1"/>
  <c r="H290" i="7"/>
  <c r="G289" i="7"/>
  <c r="F289" i="7"/>
  <c r="H288" i="7"/>
  <c r="I288" i="7" s="1"/>
  <c r="J288" i="7" s="1"/>
  <c r="H287" i="7"/>
  <c r="I287" i="7" s="1"/>
  <c r="J287" i="7" s="1"/>
  <c r="H286" i="7"/>
  <c r="G285" i="7"/>
  <c r="F285" i="7"/>
  <c r="H280" i="7"/>
  <c r="G280" i="7"/>
  <c r="H279" i="7"/>
  <c r="I279" i="7" s="1"/>
  <c r="J279" i="7" s="1"/>
  <c r="H278" i="7"/>
  <c r="I278" i="7" s="1"/>
  <c r="J278" i="7" s="1"/>
  <c r="F277" i="7"/>
  <c r="F276" i="7" s="1"/>
  <c r="H275" i="7"/>
  <c r="I275" i="7" s="1"/>
  <c r="J275" i="7" s="1"/>
  <c r="H274" i="7"/>
  <c r="I274" i="7" s="1"/>
  <c r="J274" i="7" s="1"/>
  <c r="H273" i="7"/>
  <c r="I273" i="7" s="1"/>
  <c r="J273" i="7" s="1"/>
  <c r="H272" i="7"/>
  <c r="I272" i="7" s="1"/>
  <c r="G271" i="7"/>
  <c r="G270" i="7" s="1"/>
  <c r="F271" i="7"/>
  <c r="F270" i="7" s="1"/>
  <c r="H267" i="7"/>
  <c r="I267" i="7" s="1"/>
  <c r="G266" i="7"/>
  <c r="F266" i="7"/>
  <c r="H265" i="7"/>
  <c r="H264" i="7" s="1"/>
  <c r="G264" i="7"/>
  <c r="F264" i="7"/>
  <c r="H263" i="7"/>
  <c r="I263" i="7" s="1"/>
  <c r="J263" i="7" s="1"/>
  <c r="H262" i="7"/>
  <c r="I262" i="7" s="1"/>
  <c r="J262" i="7" s="1"/>
  <c r="G261" i="7"/>
  <c r="F261" i="7"/>
  <c r="H257" i="7"/>
  <c r="I257" i="7" s="1"/>
  <c r="G256" i="7"/>
  <c r="F256" i="7"/>
  <c r="H255" i="7"/>
  <c r="I255" i="7" s="1"/>
  <c r="J255" i="7" s="1"/>
  <c r="H254" i="7"/>
  <c r="I254" i="7" s="1"/>
  <c r="J254" i="7" s="1"/>
  <c r="H253" i="7"/>
  <c r="G252" i="7"/>
  <c r="F252" i="7"/>
  <c r="H251" i="7"/>
  <c r="I251" i="7" s="1"/>
  <c r="J251" i="7" s="1"/>
  <c r="H250" i="7"/>
  <c r="I250" i="7" s="1"/>
  <c r="G249" i="7"/>
  <c r="F249" i="7"/>
  <c r="H243" i="7"/>
  <c r="I243" i="7" s="1"/>
  <c r="G242" i="7"/>
  <c r="F242" i="7"/>
  <c r="H241" i="7"/>
  <c r="I241" i="7" s="1"/>
  <c r="G240" i="7"/>
  <c r="F240" i="7"/>
  <c r="H239" i="7"/>
  <c r="I239" i="7" s="1"/>
  <c r="G238" i="7"/>
  <c r="F238" i="7"/>
  <c r="H234" i="7"/>
  <c r="G233" i="7"/>
  <c r="F233" i="7"/>
  <c r="H232" i="7"/>
  <c r="I232" i="7" s="1"/>
  <c r="J232" i="7" s="1"/>
  <c r="H231" i="7"/>
  <c r="I231" i="7" s="1"/>
  <c r="G230" i="7"/>
  <c r="F230" i="7"/>
  <c r="H229" i="7"/>
  <c r="H228" i="7" s="1"/>
  <c r="G228" i="7"/>
  <c r="F228" i="7"/>
  <c r="H227" i="7"/>
  <c r="I227" i="7" s="1"/>
  <c r="J227" i="7" s="1"/>
  <c r="H226" i="7"/>
  <c r="G225" i="7"/>
  <c r="F225" i="7"/>
  <c r="H224" i="7"/>
  <c r="G224" i="7"/>
  <c r="H223" i="7"/>
  <c r="H222" i="7"/>
  <c r="I222" i="7" s="1"/>
  <c r="J222" i="7" s="1"/>
  <c r="F221" i="7"/>
  <c r="H216" i="7"/>
  <c r="H215" i="7" s="1"/>
  <c r="H214" i="7" s="1"/>
  <c r="H213" i="7" s="1"/>
  <c r="G215" i="7"/>
  <c r="G214" i="7" s="1"/>
  <c r="G213" i="7" s="1"/>
  <c r="F215" i="7"/>
  <c r="F214" i="7" s="1"/>
  <c r="F213" i="7" s="1"/>
  <c r="H211" i="7"/>
  <c r="G210" i="7"/>
  <c r="F210" i="7"/>
  <c r="H209" i="7"/>
  <c r="H208" i="7"/>
  <c r="I208" i="7" s="1"/>
  <c r="J208" i="7" s="1"/>
  <c r="G207" i="7"/>
  <c r="F207" i="7"/>
  <c r="H206" i="7"/>
  <c r="I206" i="7" s="1"/>
  <c r="J206" i="7" s="1"/>
  <c r="H205" i="7"/>
  <c r="I205" i="7" s="1"/>
  <c r="J205" i="7" s="1"/>
  <c r="H204" i="7"/>
  <c r="I204" i="7" s="1"/>
  <c r="G203" i="7"/>
  <c r="F203" i="7"/>
  <c r="H199" i="7"/>
  <c r="I199" i="7" s="1"/>
  <c r="J199" i="7" s="1"/>
  <c r="H198" i="7"/>
  <c r="I198" i="7" s="1"/>
  <c r="J198" i="7" s="1"/>
  <c r="G197" i="7"/>
  <c r="G196" i="7" s="1"/>
  <c r="G195" i="7" s="1"/>
  <c r="F197" i="7"/>
  <c r="F196" i="7" s="1"/>
  <c r="F195" i="7" s="1"/>
  <c r="H193" i="7"/>
  <c r="H192" i="7" s="1"/>
  <c r="H191" i="7" s="1"/>
  <c r="G193" i="7"/>
  <c r="F192" i="7"/>
  <c r="F191" i="7" s="1"/>
  <c r="H190" i="7"/>
  <c r="I190" i="7" s="1"/>
  <c r="G189" i="7"/>
  <c r="G188" i="7" s="1"/>
  <c r="F189" i="7"/>
  <c r="F188" i="7" s="1"/>
  <c r="H185" i="7"/>
  <c r="I185" i="7" s="1"/>
  <c r="J185" i="7" s="1"/>
  <c r="H184" i="7"/>
  <c r="I184" i="7" s="1"/>
  <c r="J184" i="7" s="1"/>
  <c r="G183" i="7"/>
  <c r="G182" i="7" s="1"/>
  <c r="G181" i="7" s="1"/>
  <c r="F183" i="7"/>
  <c r="F182" i="7" s="1"/>
  <c r="F181" i="7" s="1"/>
  <c r="H179" i="7"/>
  <c r="I179" i="7" s="1"/>
  <c r="H178" i="7"/>
  <c r="I178" i="7" s="1"/>
  <c r="J178" i="7" s="1"/>
  <c r="G177" i="7"/>
  <c r="G176" i="7" s="1"/>
  <c r="G175" i="7" s="1"/>
  <c r="F177" i="7"/>
  <c r="F176" i="7" s="1"/>
  <c r="F175" i="7" s="1"/>
  <c r="H173" i="7"/>
  <c r="I173" i="7" s="1"/>
  <c r="J173" i="7" s="1"/>
  <c r="H172" i="7"/>
  <c r="I172" i="7" s="1"/>
  <c r="G171" i="7"/>
  <c r="G170" i="7" s="1"/>
  <c r="G169" i="7" s="1"/>
  <c r="F171" i="7"/>
  <c r="F170" i="7" s="1"/>
  <c r="F169" i="7" s="1"/>
  <c r="H167" i="7"/>
  <c r="I167" i="7" s="1"/>
  <c r="J167" i="7" s="1"/>
  <c r="J166" i="7" s="1"/>
  <c r="G166" i="7"/>
  <c r="F166" i="7"/>
  <c r="H165" i="7"/>
  <c r="I165" i="7" s="1"/>
  <c r="J165" i="7" s="1"/>
  <c r="H164" i="7"/>
  <c r="I164" i="7" s="1"/>
  <c r="J164" i="7" s="1"/>
  <c r="H163" i="7"/>
  <c r="I163" i="7" s="1"/>
  <c r="G162" i="7"/>
  <c r="F162" i="7"/>
  <c r="H158" i="7"/>
  <c r="I158" i="7" s="1"/>
  <c r="J158" i="7" s="1"/>
  <c r="H157" i="7"/>
  <c r="I157" i="7" s="1"/>
  <c r="G156" i="7"/>
  <c r="G155" i="7" s="1"/>
  <c r="G154" i="7" s="1"/>
  <c r="F156" i="7"/>
  <c r="F155" i="7" s="1"/>
  <c r="F154" i="7" s="1"/>
  <c r="H152" i="7"/>
  <c r="I152" i="7" s="1"/>
  <c r="J152" i="7" s="1"/>
  <c r="H151" i="7"/>
  <c r="I151" i="7" s="1"/>
  <c r="J151" i="7" s="1"/>
  <c r="H150" i="7"/>
  <c r="I150" i="7" s="1"/>
  <c r="G149" i="7"/>
  <c r="G148" i="7" s="1"/>
  <c r="G147" i="7" s="1"/>
  <c r="F149" i="7"/>
  <c r="F148" i="7" s="1"/>
  <c r="F147" i="7" s="1"/>
  <c r="H144" i="7"/>
  <c r="H143" i="7" s="1"/>
  <c r="G144" i="7"/>
  <c r="G143" i="7" s="1"/>
  <c r="F143" i="7"/>
  <c r="H142" i="7"/>
  <c r="I142" i="7" s="1"/>
  <c r="J142" i="7" s="1"/>
  <c r="H141" i="7"/>
  <c r="I141" i="7" s="1"/>
  <c r="H140" i="7"/>
  <c r="G139" i="7"/>
  <c r="F139" i="7"/>
  <c r="H135" i="7"/>
  <c r="H134" i="7"/>
  <c r="I134" i="7" s="1"/>
  <c r="H133" i="7"/>
  <c r="I133" i="7" s="1"/>
  <c r="J133" i="7" s="1"/>
  <c r="G132" i="7"/>
  <c r="G131" i="7" s="1"/>
  <c r="G130" i="7" s="1"/>
  <c r="F132" i="7"/>
  <c r="F131" i="7" s="1"/>
  <c r="F130" i="7" s="1"/>
  <c r="H128" i="7"/>
  <c r="H127" i="7" s="1"/>
  <c r="G128" i="7"/>
  <c r="G127" i="7" s="1"/>
  <c r="F127" i="7"/>
  <c r="H126" i="7"/>
  <c r="I126" i="7" s="1"/>
  <c r="J126" i="7" s="1"/>
  <c r="H125" i="7"/>
  <c r="G125" i="7"/>
  <c r="G124" i="7" s="1"/>
  <c r="F124" i="7"/>
  <c r="F123" i="7" s="1"/>
  <c r="F122" i="7" s="1"/>
  <c r="H119" i="7"/>
  <c r="I119" i="7" s="1"/>
  <c r="G118" i="7"/>
  <c r="G117" i="7" s="1"/>
  <c r="G116" i="7" s="1"/>
  <c r="F118" i="7"/>
  <c r="F117" i="7" s="1"/>
  <c r="F116" i="7" s="1"/>
  <c r="H114" i="7"/>
  <c r="H113" i="7" s="1"/>
  <c r="H112" i="7" s="1"/>
  <c r="H111" i="7" s="1"/>
  <c r="G114" i="7"/>
  <c r="G113" i="7" s="1"/>
  <c r="G112" i="7" s="1"/>
  <c r="G111" i="7" s="1"/>
  <c r="F113" i="7"/>
  <c r="F112" i="7" s="1"/>
  <c r="F111" i="7" s="1"/>
  <c r="H109" i="7"/>
  <c r="I109" i="7" s="1"/>
  <c r="G108" i="7"/>
  <c r="G107" i="7" s="1"/>
  <c r="G106" i="7" s="1"/>
  <c r="F108" i="7"/>
  <c r="F107" i="7" s="1"/>
  <c r="F106" i="7" s="1"/>
  <c r="H103" i="7"/>
  <c r="I103" i="7" s="1"/>
  <c r="G102" i="7"/>
  <c r="F102" i="7"/>
  <c r="H101" i="7"/>
  <c r="I101" i="7" s="1"/>
  <c r="G100" i="7"/>
  <c r="F100" i="7"/>
  <c r="H96" i="7"/>
  <c r="I96" i="7" s="1"/>
  <c r="J96" i="7" s="1"/>
  <c r="H95" i="7"/>
  <c r="I95" i="7" s="1"/>
  <c r="G94" i="7"/>
  <c r="F94" i="7"/>
  <c r="H93" i="7"/>
  <c r="G93" i="7"/>
  <c r="G90" i="7" s="1"/>
  <c r="H92" i="7"/>
  <c r="I92" i="7" s="1"/>
  <c r="J92" i="7" s="1"/>
  <c r="H91" i="7"/>
  <c r="I91" i="7" s="1"/>
  <c r="F90" i="7"/>
  <c r="H86" i="7"/>
  <c r="I86" i="7" s="1"/>
  <c r="J86" i="7" s="1"/>
  <c r="H85" i="7"/>
  <c r="I85" i="7" s="1"/>
  <c r="G84" i="7"/>
  <c r="G83" i="7" s="1"/>
  <c r="G82" i="7" s="1"/>
  <c r="F84" i="7"/>
  <c r="F83" i="7" s="1"/>
  <c r="F82" i="7" s="1"/>
  <c r="H80" i="7"/>
  <c r="I80" i="7" s="1"/>
  <c r="J80" i="7" s="1"/>
  <c r="H79" i="7"/>
  <c r="I79" i="7" s="1"/>
  <c r="J79" i="7" s="1"/>
  <c r="H78" i="7"/>
  <c r="I78" i="7" s="1"/>
  <c r="J78" i="7" s="1"/>
  <c r="H77" i="7"/>
  <c r="I77" i="7" s="1"/>
  <c r="G76" i="7"/>
  <c r="F76" i="7"/>
  <c r="H75" i="7"/>
  <c r="H74" i="7"/>
  <c r="I74" i="7" s="1"/>
  <c r="J74" i="7" s="1"/>
  <c r="G73" i="7"/>
  <c r="F73" i="7"/>
  <c r="H72" i="7"/>
  <c r="I72" i="7" s="1"/>
  <c r="G71" i="7"/>
  <c r="F71" i="7"/>
  <c r="H70" i="7"/>
  <c r="G70" i="7"/>
  <c r="H69" i="7"/>
  <c r="I69" i="7" s="1"/>
  <c r="J69" i="7" s="1"/>
  <c r="H68" i="7"/>
  <c r="I68" i="7" s="1"/>
  <c r="J68" i="7" s="1"/>
  <c r="H67" i="7"/>
  <c r="F66" i="7"/>
  <c r="H62" i="7"/>
  <c r="I62" i="7" s="1"/>
  <c r="J62" i="7" s="1"/>
  <c r="H61" i="7"/>
  <c r="I61" i="7" s="1"/>
  <c r="J61" i="7" s="1"/>
  <c r="H60" i="7"/>
  <c r="I60" i="7" s="1"/>
  <c r="J60" i="7" s="1"/>
  <c r="H59" i="7"/>
  <c r="I59" i="7" s="1"/>
  <c r="G58" i="7"/>
  <c r="G57" i="7" s="1"/>
  <c r="G56" i="7" s="1"/>
  <c r="F58" i="7"/>
  <c r="F57" i="7" s="1"/>
  <c r="F56" i="7" s="1"/>
  <c r="H54" i="7"/>
  <c r="I54" i="7" s="1"/>
  <c r="J54" i="7" s="1"/>
  <c r="H53" i="7"/>
  <c r="I53" i="7" s="1"/>
  <c r="G52" i="7"/>
  <c r="G51" i="7" s="1"/>
  <c r="G50" i="7" s="1"/>
  <c r="F52" i="7"/>
  <c r="F51" i="7" s="1"/>
  <c r="F50" i="7" s="1"/>
  <c r="H48" i="7"/>
  <c r="I48" i="7" s="1"/>
  <c r="J48" i="7" s="1"/>
  <c r="H47" i="7"/>
  <c r="I47" i="7" s="1"/>
  <c r="J47" i="7" s="1"/>
  <c r="G46" i="7"/>
  <c r="G45" i="7" s="1"/>
  <c r="G44" i="7" s="1"/>
  <c r="F46" i="7"/>
  <c r="F45" i="7" s="1"/>
  <c r="F44" i="7" s="1"/>
  <c r="H39" i="7"/>
  <c r="I39" i="7" s="1"/>
  <c r="G38" i="7"/>
  <c r="F38" i="7"/>
  <c r="H36" i="7"/>
  <c r="H35" i="7" s="1"/>
  <c r="G36" i="7"/>
  <c r="F35" i="7"/>
  <c r="H33" i="7"/>
  <c r="I33" i="7" s="1"/>
  <c r="G32" i="7"/>
  <c r="F32" i="7"/>
  <c r="H29" i="7"/>
  <c r="H28" i="7" s="1"/>
  <c r="G28" i="7"/>
  <c r="F28" i="7"/>
  <c r="H26" i="7"/>
  <c r="H25" i="7" s="1"/>
  <c r="G25" i="7"/>
  <c r="F25" i="7"/>
  <c r="H23" i="7"/>
  <c r="H22" i="7" s="1"/>
  <c r="G22" i="7"/>
  <c r="F22" i="7"/>
  <c r="H20" i="7"/>
  <c r="I20" i="7" s="1"/>
  <c r="G19" i="7"/>
  <c r="F19" i="7"/>
  <c r="H16" i="7"/>
  <c r="I16" i="7" s="1"/>
  <c r="J16" i="7" s="1"/>
  <c r="H15" i="7"/>
  <c r="I15" i="7" s="1"/>
  <c r="J15" i="7" s="1"/>
  <c r="H14" i="7"/>
  <c r="I14" i="7" s="1"/>
  <c r="G13" i="7"/>
  <c r="F13" i="7"/>
  <c r="H11" i="7"/>
  <c r="I11" i="7" s="1"/>
  <c r="J11" i="7" s="1"/>
  <c r="H10" i="7"/>
  <c r="I10" i="7" s="1"/>
  <c r="G9" i="7"/>
  <c r="G8" i="7" s="1"/>
  <c r="F9" i="7"/>
  <c r="F8" i="7" s="1"/>
  <c r="G306" i="7" l="1"/>
  <c r="G517" i="7"/>
  <c r="G516" i="7" s="1"/>
  <c r="G332" i="7"/>
  <c r="G331" i="7" s="1"/>
  <c r="G123" i="7"/>
  <c r="G122" i="7" s="1"/>
  <c r="F138" i="7"/>
  <c r="F137" i="7" s="1"/>
  <c r="F464" i="7"/>
  <c r="F463" i="7" s="1"/>
  <c r="F462" i="7" s="1"/>
  <c r="G524" i="7"/>
  <c r="G523" i="7" s="1"/>
  <c r="G507" i="7" s="1"/>
  <c r="G319" i="7"/>
  <c r="G318" i="7" s="1"/>
  <c r="H673" i="7"/>
  <c r="H672" i="7" s="1"/>
  <c r="H671" i="7" s="1"/>
  <c r="H670" i="7" s="1"/>
  <c r="F248" i="7"/>
  <c r="F247" i="7" s="1"/>
  <c r="F260" i="7"/>
  <c r="F259" i="7" s="1"/>
  <c r="F581" i="7"/>
  <c r="F580" i="7" s="1"/>
  <c r="F341" i="7"/>
  <c r="F340" i="7" s="1"/>
  <c r="F65" i="7"/>
  <c r="F64" i="7" s="1"/>
  <c r="H266" i="7"/>
  <c r="G341" i="7"/>
  <c r="G340" i="7" s="1"/>
  <c r="G646" i="7"/>
  <c r="G645" i="7" s="1"/>
  <c r="G644" i="7" s="1"/>
  <c r="F410" i="7"/>
  <c r="G434" i="7"/>
  <c r="G433" i="7" s="1"/>
  <c r="J534" i="7"/>
  <c r="H139" i="7"/>
  <c r="H138" i="7" s="1"/>
  <c r="H137" i="7" s="1"/>
  <c r="H458" i="7"/>
  <c r="H457" i="7" s="1"/>
  <c r="H456" i="7" s="1"/>
  <c r="H455" i="7" s="1"/>
  <c r="H488" i="7"/>
  <c r="H366" i="7"/>
  <c r="I316" i="7"/>
  <c r="H473" i="7"/>
  <c r="I485" i="7"/>
  <c r="I484" i="7" s="1"/>
  <c r="H621" i="7"/>
  <c r="I662" i="7"/>
  <c r="I71" i="7"/>
  <c r="J72" i="7"/>
  <c r="J71" i="7" s="1"/>
  <c r="I70" i="7"/>
  <c r="J70" i="7" s="1"/>
  <c r="H71" i="7"/>
  <c r="G99" i="7"/>
  <c r="G98" i="7" s="1"/>
  <c r="H166" i="7"/>
  <c r="I216" i="7"/>
  <c r="J216" i="7" s="1"/>
  <c r="J215" i="7" s="1"/>
  <c r="J214" i="7" s="1"/>
  <c r="J213" i="7" s="1"/>
  <c r="F237" i="7"/>
  <c r="F236" i="7" s="1"/>
  <c r="H277" i="7"/>
  <c r="H276" i="7" s="1"/>
  <c r="F385" i="7"/>
  <c r="G410" i="7"/>
  <c r="H435" i="7"/>
  <c r="F445" i="7"/>
  <c r="F444" i="7" s="1"/>
  <c r="G464" i="7"/>
  <c r="G463" i="7" s="1"/>
  <c r="G462" i="7" s="1"/>
  <c r="F483" i="7"/>
  <c r="F482" i="7" s="1"/>
  <c r="F524" i="7"/>
  <c r="F523" i="7" s="1"/>
  <c r="H647" i="7"/>
  <c r="I647" i="7"/>
  <c r="I93" i="7"/>
  <c r="J93" i="7" s="1"/>
  <c r="F121" i="7"/>
  <c r="G161" i="7"/>
  <c r="G160" i="7" s="1"/>
  <c r="G260" i="7"/>
  <c r="G259" i="7" s="1"/>
  <c r="H412" i="7"/>
  <c r="H411" i="7" s="1"/>
  <c r="H439" i="7"/>
  <c r="H434" i="7" s="1"/>
  <c r="H433" i="7" s="1"/>
  <c r="H534" i="7"/>
  <c r="F571" i="7"/>
  <c r="F570" i="7" s="1"/>
  <c r="G581" i="7"/>
  <c r="G580" i="7" s="1"/>
  <c r="H587" i="7"/>
  <c r="F615" i="7"/>
  <c r="F614" i="7" s="1"/>
  <c r="H627" i="7"/>
  <c r="H630" i="7"/>
  <c r="J648" i="7"/>
  <c r="J647" i="7" s="1"/>
  <c r="I266" i="7"/>
  <c r="J267" i="7"/>
  <c r="J266" i="7" s="1"/>
  <c r="G18" i="7"/>
  <c r="I36" i="7"/>
  <c r="I35" i="7" s="1"/>
  <c r="I140" i="7"/>
  <c r="J140" i="7" s="1"/>
  <c r="F187" i="7"/>
  <c r="F220" i="7"/>
  <c r="F219" i="7" s="1"/>
  <c r="G237" i="7"/>
  <c r="G236" i="7" s="1"/>
  <c r="F284" i="7"/>
  <c r="F283" i="7" s="1"/>
  <c r="F306" i="7"/>
  <c r="F305" i="7" s="1"/>
  <c r="I430" i="7"/>
  <c r="J430" i="7" s="1"/>
  <c r="I474" i="7"/>
  <c r="G483" i="7"/>
  <c r="G482" i="7" s="1"/>
  <c r="H525" i="7"/>
  <c r="H524" i="7" s="1"/>
  <c r="H523" i="7" s="1"/>
  <c r="I530" i="7"/>
  <c r="J530" i="7" s="1"/>
  <c r="J529" i="7" s="1"/>
  <c r="G615" i="7"/>
  <c r="G614" i="7" s="1"/>
  <c r="I622" i="7"/>
  <c r="J622" i="7" s="1"/>
  <c r="J621" i="7" s="1"/>
  <c r="I631" i="7"/>
  <c r="J631" i="7" s="1"/>
  <c r="J630" i="7" s="1"/>
  <c r="I673" i="7"/>
  <c r="I672" i="7" s="1"/>
  <c r="I671" i="7" s="1"/>
  <c r="I670" i="7" s="1"/>
  <c r="F18" i="7"/>
  <c r="F31" i="7"/>
  <c r="G89" i="7"/>
  <c r="G88" i="7" s="1"/>
  <c r="H124" i="7"/>
  <c r="H123" i="7" s="1"/>
  <c r="H122" i="7" s="1"/>
  <c r="H183" i="7"/>
  <c r="H182" i="7" s="1"/>
  <c r="H181" i="7" s="1"/>
  <c r="F202" i="7"/>
  <c r="F201" i="7" s="1"/>
  <c r="H230" i="7"/>
  <c r="H301" i="7"/>
  <c r="I310" i="7"/>
  <c r="J310" i="7" s="1"/>
  <c r="H311" i="7"/>
  <c r="F332" i="7"/>
  <c r="F331" i="7" s="1"/>
  <c r="F353" i="7"/>
  <c r="F352" i="7" s="1"/>
  <c r="F398" i="7"/>
  <c r="F420" i="7"/>
  <c r="I466" i="7"/>
  <c r="J466" i="7" s="1"/>
  <c r="J465" i="7" s="1"/>
  <c r="F472" i="7"/>
  <c r="F471" i="7" s="1"/>
  <c r="F470" i="7" s="1"/>
  <c r="I519" i="7"/>
  <c r="J519" i="7" s="1"/>
  <c r="J518" i="7" s="1"/>
  <c r="J517" i="7" s="1"/>
  <c r="J516" i="7" s="1"/>
  <c r="I526" i="7"/>
  <c r="J526" i="7" s="1"/>
  <c r="J525" i="7" s="1"/>
  <c r="H563" i="7"/>
  <c r="H562" i="7" s="1"/>
  <c r="H561" i="7" s="1"/>
  <c r="I628" i="7"/>
  <c r="J628" i="7" s="1"/>
  <c r="J627" i="7" s="1"/>
  <c r="I114" i="7"/>
  <c r="J114" i="7" s="1"/>
  <c r="J113" i="7" s="1"/>
  <c r="J112" i="7" s="1"/>
  <c r="J111" i="7" s="1"/>
  <c r="J183" i="7"/>
  <c r="J182" i="7" s="1"/>
  <c r="J181" i="7" s="1"/>
  <c r="G472" i="7"/>
  <c r="G471" i="7" s="1"/>
  <c r="H577" i="7"/>
  <c r="I265" i="7"/>
  <c r="J265" i="7" s="1"/>
  <c r="J264" i="7" s="1"/>
  <c r="I321" i="7"/>
  <c r="I478" i="7"/>
  <c r="G138" i="7"/>
  <c r="G137" i="7" s="1"/>
  <c r="I193" i="7"/>
  <c r="J193" i="7" s="1"/>
  <c r="J192" i="7" s="1"/>
  <c r="J191" i="7" s="1"/>
  <c r="G192" i="7"/>
  <c r="G191" i="7" s="1"/>
  <c r="G187" i="7" s="1"/>
  <c r="H46" i="7"/>
  <c r="H45" i="7" s="1"/>
  <c r="H44" i="7" s="1"/>
  <c r="G66" i="7"/>
  <c r="G65" i="7" s="1"/>
  <c r="G64" i="7" s="1"/>
  <c r="H132" i="7"/>
  <c r="H131" i="7" s="1"/>
  <c r="H130" i="7" s="1"/>
  <c r="H66" i="7"/>
  <c r="H73" i="7"/>
  <c r="F89" i="7"/>
  <c r="F88" i="7" s="1"/>
  <c r="H94" i="7"/>
  <c r="F99" i="7"/>
  <c r="F98" i="7" s="1"/>
  <c r="G105" i="7"/>
  <c r="I128" i="7"/>
  <c r="J128" i="7" s="1"/>
  <c r="J127" i="7" s="1"/>
  <c r="I144" i="7"/>
  <c r="I143" i="7" s="1"/>
  <c r="F161" i="7"/>
  <c r="F160" i="7" s="1"/>
  <c r="H177" i="7"/>
  <c r="H176" i="7" s="1"/>
  <c r="H175" i="7" s="1"/>
  <c r="H197" i="7"/>
  <c r="H196" i="7" s="1"/>
  <c r="H195" i="7" s="1"/>
  <c r="I234" i="7"/>
  <c r="H233" i="7"/>
  <c r="I667" i="7"/>
  <c r="I666" i="7" s="1"/>
  <c r="I665" i="7" s="1"/>
  <c r="I664" i="7" s="1"/>
  <c r="J668" i="7"/>
  <c r="J667" i="7" s="1"/>
  <c r="J666" i="7" s="1"/>
  <c r="J665" i="7" s="1"/>
  <c r="J664" i="7" s="1"/>
  <c r="J46" i="7"/>
  <c r="J45" i="7" s="1"/>
  <c r="J44" i="7" s="1"/>
  <c r="H108" i="7"/>
  <c r="H107" i="7" s="1"/>
  <c r="H106" i="7" s="1"/>
  <c r="I125" i="7"/>
  <c r="J125" i="7" s="1"/>
  <c r="J124" i="7" s="1"/>
  <c r="I253" i="7"/>
  <c r="J253" i="7" s="1"/>
  <c r="J252" i="7" s="1"/>
  <c r="H252" i="7"/>
  <c r="H285" i="7"/>
  <c r="H427" i="7"/>
  <c r="H426" i="7" s="1"/>
  <c r="F434" i="7"/>
  <c r="F433" i="7" s="1"/>
  <c r="F432" i="7" s="1"/>
  <c r="I442" i="7"/>
  <c r="I441" i="7" s="1"/>
  <c r="G445" i="7"/>
  <c r="G444" i="7" s="1"/>
  <c r="H520" i="7"/>
  <c r="H517" i="7" s="1"/>
  <c r="H516" i="7" s="1"/>
  <c r="F533" i="7"/>
  <c r="F532" i="7" s="1"/>
  <c r="F547" i="7"/>
  <c r="F546" i="7" s="1"/>
  <c r="H548" i="7"/>
  <c r="I563" i="7"/>
  <c r="I562" i="7" s="1"/>
  <c r="I561" i="7" s="1"/>
  <c r="G593" i="7"/>
  <c r="G592" i="7" s="1"/>
  <c r="G591" i="7" s="1"/>
  <c r="F626" i="7"/>
  <c r="F625" i="7" s="1"/>
  <c r="H667" i="7"/>
  <c r="H666" i="7" s="1"/>
  <c r="H665" i="7" s="1"/>
  <c r="H664" i="7" s="1"/>
  <c r="H657" i="7" s="1"/>
  <c r="J261" i="7"/>
  <c r="I280" i="7"/>
  <c r="I277" i="7" s="1"/>
  <c r="I276" i="7" s="1"/>
  <c r="G297" i="7"/>
  <c r="G296" i="7" s="1"/>
  <c r="G305" i="7"/>
  <c r="H322" i="7"/>
  <c r="H319" i="7" s="1"/>
  <c r="H318" i="7" s="1"/>
  <c r="G362" i="7"/>
  <c r="G361" i="7" s="1"/>
  <c r="H373" i="7"/>
  <c r="H372" i="7" s="1"/>
  <c r="H379" i="7"/>
  <c r="H378" i="7" s="1"/>
  <c r="H467" i="7"/>
  <c r="H464" i="7" s="1"/>
  <c r="H463" i="7" s="1"/>
  <c r="H462" i="7" s="1"/>
  <c r="H478" i="7"/>
  <c r="H472" i="7" s="1"/>
  <c r="H471" i="7" s="1"/>
  <c r="H486" i="7"/>
  <c r="H497" i="7"/>
  <c r="H513" i="7"/>
  <c r="G571" i="7"/>
  <c r="G570" i="7" s="1"/>
  <c r="G569" i="7" s="1"/>
  <c r="I587" i="7"/>
  <c r="G627" i="7"/>
  <c r="G626" i="7" s="1"/>
  <c r="G625" i="7" s="1"/>
  <c r="G601" i="7" s="1"/>
  <c r="G657" i="7"/>
  <c r="I677" i="7"/>
  <c r="G371" i="7"/>
  <c r="G420" i="7"/>
  <c r="J464" i="7"/>
  <c r="J463" i="7" s="1"/>
  <c r="J462" i="7" s="1"/>
  <c r="G470" i="7"/>
  <c r="J563" i="7"/>
  <c r="J562" i="7" s="1"/>
  <c r="J561" i="7" s="1"/>
  <c r="J587" i="7"/>
  <c r="F657" i="7"/>
  <c r="G248" i="7"/>
  <c r="G247" i="7" s="1"/>
  <c r="H261" i="7"/>
  <c r="F269" i="7"/>
  <c r="G284" i="7"/>
  <c r="G283" i="7" s="1"/>
  <c r="G353" i="7"/>
  <c r="G352" i="7" s="1"/>
  <c r="H416" i="7"/>
  <c r="H415" i="7" s="1"/>
  <c r="F493" i="7"/>
  <c r="F492" i="7" s="1"/>
  <c r="H502" i="7"/>
  <c r="H501" i="7" s="1"/>
  <c r="H500" i="7" s="1"/>
  <c r="F509" i="7"/>
  <c r="F508" i="7" s="1"/>
  <c r="F603" i="7"/>
  <c r="F602" i="7" s="1"/>
  <c r="F601" i="7" s="1"/>
  <c r="H610" i="7"/>
  <c r="F636" i="7"/>
  <c r="F635" i="7" s="1"/>
  <c r="F634" i="7" s="1"/>
  <c r="F684" i="7"/>
  <c r="I684" i="7"/>
  <c r="F677" i="7"/>
  <c r="J36" i="7"/>
  <c r="J35" i="7" s="1"/>
  <c r="J14" i="7"/>
  <c r="J13" i="7" s="1"/>
  <c r="I13" i="7"/>
  <c r="J59" i="7"/>
  <c r="J58" i="7" s="1"/>
  <c r="J57" i="7" s="1"/>
  <c r="J56" i="7" s="1"/>
  <c r="I58" i="7"/>
  <c r="I57" i="7" s="1"/>
  <c r="I56" i="7" s="1"/>
  <c r="J95" i="7"/>
  <c r="J94" i="7" s="1"/>
  <c r="I94" i="7"/>
  <c r="J103" i="7"/>
  <c r="J102" i="7" s="1"/>
  <c r="I102" i="7"/>
  <c r="J172" i="7"/>
  <c r="J171" i="7" s="1"/>
  <c r="J170" i="7" s="1"/>
  <c r="J169" i="7" s="1"/>
  <c r="I171" i="7"/>
  <c r="I170" i="7" s="1"/>
  <c r="I169" i="7" s="1"/>
  <c r="J190" i="7"/>
  <c r="J189" i="7" s="1"/>
  <c r="J188" i="7" s="1"/>
  <c r="I189" i="7"/>
  <c r="I188" i="7" s="1"/>
  <c r="J197" i="7"/>
  <c r="J196" i="7" s="1"/>
  <c r="J195" i="7" s="1"/>
  <c r="J91" i="7"/>
  <c r="J101" i="7"/>
  <c r="J100" i="7" s="1"/>
  <c r="I100" i="7"/>
  <c r="J109" i="7"/>
  <c r="J108" i="7" s="1"/>
  <c r="J107" i="7" s="1"/>
  <c r="J106" i="7" s="1"/>
  <c r="I108" i="7"/>
  <c r="I107" i="7" s="1"/>
  <c r="I106" i="7" s="1"/>
  <c r="J134" i="7"/>
  <c r="J163" i="7"/>
  <c r="J162" i="7" s="1"/>
  <c r="J161" i="7" s="1"/>
  <c r="J160" i="7" s="1"/>
  <c r="I162" i="7"/>
  <c r="J204" i="7"/>
  <c r="J203" i="7" s="1"/>
  <c r="I203" i="7"/>
  <c r="I38" i="7"/>
  <c r="J39" i="7"/>
  <c r="J38" i="7" s="1"/>
  <c r="J20" i="7"/>
  <c r="J19" i="7" s="1"/>
  <c r="I19" i="7"/>
  <c r="J33" i="7"/>
  <c r="J32" i="7" s="1"/>
  <c r="I32" i="7"/>
  <c r="J53" i="7"/>
  <c r="J52" i="7" s="1"/>
  <c r="J51" i="7" s="1"/>
  <c r="J50" i="7" s="1"/>
  <c r="I52" i="7"/>
  <c r="I51" i="7" s="1"/>
  <c r="I50" i="7" s="1"/>
  <c r="J77" i="7"/>
  <c r="J76" i="7" s="1"/>
  <c r="I76" i="7"/>
  <c r="F105" i="7"/>
  <c r="J119" i="7"/>
  <c r="J118" i="7" s="1"/>
  <c r="J117" i="7" s="1"/>
  <c r="J116" i="7" s="1"/>
  <c r="I118" i="7"/>
  <c r="I117" i="7" s="1"/>
  <c r="I116" i="7" s="1"/>
  <c r="I139" i="7"/>
  <c r="J141" i="7"/>
  <c r="J139" i="7" s="1"/>
  <c r="I9" i="7"/>
  <c r="J10" i="7"/>
  <c r="J9" i="7" s="1"/>
  <c r="J85" i="7"/>
  <c r="J84" i="7" s="1"/>
  <c r="J83" i="7" s="1"/>
  <c r="J82" i="7" s="1"/>
  <c r="I84" i="7"/>
  <c r="I83" i="7" s="1"/>
  <c r="I82" i="7" s="1"/>
  <c r="J144" i="7"/>
  <c r="J143" i="7" s="1"/>
  <c r="J150" i="7"/>
  <c r="J149" i="7" s="1"/>
  <c r="J148" i="7" s="1"/>
  <c r="J147" i="7" s="1"/>
  <c r="I149" i="7"/>
  <c r="I148" i="7" s="1"/>
  <c r="I147" i="7" s="1"/>
  <c r="J157" i="7"/>
  <c r="J156" i="7" s="1"/>
  <c r="J155" i="7" s="1"/>
  <c r="J154" i="7" s="1"/>
  <c r="I156" i="7"/>
  <c r="I155" i="7" s="1"/>
  <c r="I154" i="7" s="1"/>
  <c r="I177" i="7"/>
  <c r="I176" i="7" s="1"/>
  <c r="I175" i="7" s="1"/>
  <c r="J179" i="7"/>
  <c r="J177" i="7" s="1"/>
  <c r="J176" i="7" s="1"/>
  <c r="J175" i="7" s="1"/>
  <c r="H19" i="7"/>
  <c r="H18" i="7" s="1"/>
  <c r="I23" i="7"/>
  <c r="I26" i="7"/>
  <c r="I29" i="7"/>
  <c r="H52" i="7"/>
  <c r="H51" i="7" s="1"/>
  <c r="H50" i="7" s="1"/>
  <c r="H13" i="7"/>
  <c r="H32" i="7"/>
  <c r="H58" i="7"/>
  <c r="H57" i="7" s="1"/>
  <c r="H56" i="7" s="1"/>
  <c r="I75" i="7"/>
  <c r="H76" i="7"/>
  <c r="H90" i="7"/>
  <c r="H89" i="7" s="1"/>
  <c r="H88" i="7" s="1"/>
  <c r="H100" i="7"/>
  <c r="H102" i="7"/>
  <c r="H118" i="7"/>
  <c r="H117" i="7" s="1"/>
  <c r="H116" i="7" s="1"/>
  <c r="I135" i="7"/>
  <c r="J135" i="7" s="1"/>
  <c r="H149" i="7"/>
  <c r="H148" i="7" s="1"/>
  <c r="H147" i="7" s="1"/>
  <c r="H156" i="7"/>
  <c r="H155" i="7" s="1"/>
  <c r="H154" i="7" s="1"/>
  <c r="I166" i="7"/>
  <c r="I183" i="7"/>
  <c r="I182" i="7" s="1"/>
  <c r="I181" i="7" s="1"/>
  <c r="H189" i="7"/>
  <c r="H188" i="7" s="1"/>
  <c r="H187" i="7" s="1"/>
  <c r="I197" i="7"/>
  <c r="I196" i="7" s="1"/>
  <c r="I195" i="7" s="1"/>
  <c r="G202" i="7"/>
  <c r="G201" i="7" s="1"/>
  <c r="H207" i="7"/>
  <c r="I209" i="7"/>
  <c r="I211" i="7"/>
  <c r="H210" i="7"/>
  <c r="I224" i="7"/>
  <c r="J224" i="7" s="1"/>
  <c r="G221" i="7"/>
  <c r="G220" i="7" s="1"/>
  <c r="G219" i="7" s="1"/>
  <c r="G218" i="7" s="1"/>
  <c r="I229" i="7"/>
  <c r="J239" i="7"/>
  <c r="J238" i="7" s="1"/>
  <c r="I238" i="7"/>
  <c r="G35" i="7"/>
  <c r="G31" i="7" s="1"/>
  <c r="I46" i="7"/>
  <c r="I45" i="7" s="1"/>
  <c r="I44" i="7" s="1"/>
  <c r="I67" i="7"/>
  <c r="H9" i="7"/>
  <c r="H38" i="7"/>
  <c r="H162" i="7"/>
  <c r="H171" i="7"/>
  <c r="H170" i="7" s="1"/>
  <c r="H169" i="7" s="1"/>
  <c r="H203" i="7"/>
  <c r="I226" i="7"/>
  <c r="H225" i="7"/>
  <c r="J231" i="7"/>
  <c r="J230" i="7" s="1"/>
  <c r="I230" i="7"/>
  <c r="J250" i="7"/>
  <c r="J249" i="7" s="1"/>
  <c r="I249" i="7"/>
  <c r="J243" i="7"/>
  <c r="J242" i="7" s="1"/>
  <c r="I242" i="7"/>
  <c r="J272" i="7"/>
  <c r="J271" i="7" s="1"/>
  <c r="J270" i="7" s="1"/>
  <c r="I271" i="7"/>
  <c r="I270" i="7" s="1"/>
  <c r="H84" i="7"/>
  <c r="H83" i="7" s="1"/>
  <c r="H82" i="7" s="1"/>
  <c r="H221" i="7"/>
  <c r="I223" i="7"/>
  <c r="J241" i="7"/>
  <c r="J240" i="7" s="1"/>
  <c r="I240" i="7"/>
  <c r="J257" i="7"/>
  <c r="J256" i="7" s="1"/>
  <c r="I256" i="7"/>
  <c r="H238" i="7"/>
  <c r="H240" i="7"/>
  <c r="H242" i="7"/>
  <c r="H249" i="7"/>
  <c r="I261" i="7"/>
  <c r="H271" i="7"/>
  <c r="H270" i="7" s="1"/>
  <c r="H269" i="7" s="1"/>
  <c r="I286" i="7"/>
  <c r="J323" i="7"/>
  <c r="J322" i="7" s="1"/>
  <c r="I322" i="7"/>
  <c r="I338" i="7"/>
  <c r="H337" i="7"/>
  <c r="F371" i="7"/>
  <c r="J373" i="7"/>
  <c r="J372" i="7" s="1"/>
  <c r="G385" i="7"/>
  <c r="G398" i="7"/>
  <c r="J423" i="7"/>
  <c r="J422" i="7" s="1"/>
  <c r="J421" i="7" s="1"/>
  <c r="I422" i="7"/>
  <c r="I421" i="7" s="1"/>
  <c r="J451" i="7"/>
  <c r="J450" i="7" s="1"/>
  <c r="I450" i="7"/>
  <c r="F491" i="7"/>
  <c r="H256" i="7"/>
  <c r="G277" i="7"/>
  <c r="G276" i="7" s="1"/>
  <c r="G269" i="7" s="1"/>
  <c r="I299" i="7"/>
  <c r="H298" i="7"/>
  <c r="I308" i="7"/>
  <c r="H307" i="7"/>
  <c r="H306" i="7" s="1"/>
  <c r="H305" i="7" s="1"/>
  <c r="J312" i="7"/>
  <c r="J311" i="7" s="1"/>
  <c r="I311" i="7"/>
  <c r="F319" i="7"/>
  <c r="F318" i="7" s="1"/>
  <c r="I334" i="7"/>
  <c r="H333" i="7"/>
  <c r="H332" i="7" s="1"/>
  <c r="H331" i="7" s="1"/>
  <c r="J345" i="7"/>
  <c r="J344" i="7" s="1"/>
  <c r="I344" i="7"/>
  <c r="J350" i="7"/>
  <c r="J349" i="7" s="1"/>
  <c r="J348" i="7" s="1"/>
  <c r="J347" i="7" s="1"/>
  <c r="I349" i="7"/>
  <c r="I348" i="7" s="1"/>
  <c r="I347" i="7" s="1"/>
  <c r="J355" i="7"/>
  <c r="J354" i="7" s="1"/>
  <c r="I354" i="7"/>
  <c r="J388" i="7"/>
  <c r="J387" i="7" s="1"/>
  <c r="J386" i="7" s="1"/>
  <c r="I387" i="7"/>
  <c r="I386" i="7" s="1"/>
  <c r="J401" i="7"/>
  <c r="J400" i="7" s="1"/>
  <c r="J399" i="7" s="1"/>
  <c r="I400" i="7"/>
  <c r="I399" i="7" s="1"/>
  <c r="J435" i="7"/>
  <c r="J442" i="7"/>
  <c r="J441" i="7" s="1"/>
  <c r="I290" i="7"/>
  <c r="H289" i="7"/>
  <c r="J302" i="7"/>
  <c r="J301" i="7" s="1"/>
  <c r="I301" i="7"/>
  <c r="J321" i="7"/>
  <c r="J320" i="7" s="1"/>
  <c r="I320" i="7"/>
  <c r="J343" i="7"/>
  <c r="J342" i="7" s="1"/>
  <c r="I342" i="7"/>
  <c r="J394" i="7"/>
  <c r="J393" i="7" s="1"/>
  <c r="J392" i="7" s="1"/>
  <c r="I393" i="7"/>
  <c r="I392" i="7" s="1"/>
  <c r="J407" i="7"/>
  <c r="J406" i="7" s="1"/>
  <c r="J405" i="7" s="1"/>
  <c r="I406" i="7"/>
  <c r="I405" i="7" s="1"/>
  <c r="J447" i="7"/>
  <c r="J446" i="7" s="1"/>
  <c r="I446" i="7"/>
  <c r="I294" i="7"/>
  <c r="H293" i="7"/>
  <c r="J316" i="7"/>
  <c r="J315" i="7" s="1"/>
  <c r="J314" i="7" s="1"/>
  <c r="I315" i="7"/>
  <c r="I314" i="7" s="1"/>
  <c r="I329" i="7"/>
  <c r="H328" i="7"/>
  <c r="H327" i="7" s="1"/>
  <c r="H326" i="7" s="1"/>
  <c r="J359" i="7"/>
  <c r="J358" i="7" s="1"/>
  <c r="I358" i="7"/>
  <c r="J364" i="7"/>
  <c r="J363" i="7" s="1"/>
  <c r="I363" i="7"/>
  <c r="J453" i="7"/>
  <c r="J452" i="7" s="1"/>
  <c r="I452" i="7"/>
  <c r="H349" i="7"/>
  <c r="H348" i="7" s="1"/>
  <c r="H347" i="7" s="1"/>
  <c r="H358" i="7"/>
  <c r="I368" i="7"/>
  <c r="J368" i="7" s="1"/>
  <c r="J366" i="7" s="1"/>
  <c r="I373" i="7"/>
  <c r="I372" i="7" s="1"/>
  <c r="I381" i="7"/>
  <c r="J381" i="7" s="1"/>
  <c r="J379" i="7" s="1"/>
  <c r="J378" i="7" s="1"/>
  <c r="H387" i="7"/>
  <c r="H386" i="7" s="1"/>
  <c r="H406" i="7"/>
  <c r="H405" i="7" s="1"/>
  <c r="I414" i="7"/>
  <c r="J414" i="7" s="1"/>
  <c r="J412" i="7" s="1"/>
  <c r="J411" i="7" s="1"/>
  <c r="I418" i="7"/>
  <c r="J418" i="7" s="1"/>
  <c r="J416" i="7" s="1"/>
  <c r="J415" i="7" s="1"/>
  <c r="I429" i="7"/>
  <c r="J429" i="7" s="1"/>
  <c r="I435" i="7"/>
  <c r="H446" i="7"/>
  <c r="I477" i="7"/>
  <c r="J479" i="7"/>
  <c r="J478" i="7" s="1"/>
  <c r="J489" i="7"/>
  <c r="J488" i="7" s="1"/>
  <c r="I488" i="7"/>
  <c r="G491" i="7"/>
  <c r="I495" i="7"/>
  <c r="H494" i="7"/>
  <c r="J503" i="7"/>
  <c r="J502" i="7" s="1"/>
  <c r="J501" i="7" s="1"/>
  <c r="J500" i="7" s="1"/>
  <c r="I502" i="7"/>
  <c r="I501" i="7" s="1"/>
  <c r="I500" i="7" s="1"/>
  <c r="I511" i="7"/>
  <c r="H510" i="7"/>
  <c r="J552" i="7"/>
  <c r="J551" i="7" s="1"/>
  <c r="I551" i="7"/>
  <c r="J557" i="7"/>
  <c r="J556" i="7" s="1"/>
  <c r="J555" i="7" s="1"/>
  <c r="J554" i="7" s="1"/>
  <c r="I556" i="7"/>
  <c r="I555" i="7" s="1"/>
  <c r="I554" i="7" s="1"/>
  <c r="J578" i="7"/>
  <c r="J577" i="7" s="1"/>
  <c r="I577" i="7"/>
  <c r="J582" i="7"/>
  <c r="J498" i="7"/>
  <c r="J497" i="7" s="1"/>
  <c r="I497" i="7"/>
  <c r="J514" i="7"/>
  <c r="J513" i="7" s="1"/>
  <c r="I513" i="7"/>
  <c r="J538" i="7"/>
  <c r="J537" i="7" s="1"/>
  <c r="I537" i="7"/>
  <c r="J543" i="7"/>
  <c r="J542" i="7" s="1"/>
  <c r="J541" i="7" s="1"/>
  <c r="J540" i="7" s="1"/>
  <c r="I542" i="7"/>
  <c r="I541" i="7" s="1"/>
  <c r="I540" i="7" s="1"/>
  <c r="H342" i="7"/>
  <c r="H344" i="7"/>
  <c r="H354" i="7"/>
  <c r="H363" i="7"/>
  <c r="H393" i="7"/>
  <c r="H392" i="7" s="1"/>
  <c r="H400" i="7"/>
  <c r="H399" i="7" s="1"/>
  <c r="H422" i="7"/>
  <c r="H421" i="7" s="1"/>
  <c r="I439" i="7"/>
  <c r="H450" i="7"/>
  <c r="H452" i="7"/>
  <c r="I458" i="7"/>
  <c r="I457" i="7" s="1"/>
  <c r="I456" i="7" s="1"/>
  <c r="I455" i="7" s="1"/>
  <c r="I467" i="7"/>
  <c r="J487" i="7"/>
  <c r="J486" i="7" s="1"/>
  <c r="I486" i="7"/>
  <c r="J474" i="7"/>
  <c r="J473" i="7" s="1"/>
  <c r="I473" i="7"/>
  <c r="F517" i="7"/>
  <c r="F516" i="7" s="1"/>
  <c r="J598" i="7"/>
  <c r="J597" i="7" s="1"/>
  <c r="I597" i="7"/>
  <c r="I518" i="7"/>
  <c r="I520" i="7"/>
  <c r="H537" i="7"/>
  <c r="H533" i="7" s="1"/>
  <c r="H532" i="7" s="1"/>
  <c r="H556" i="7"/>
  <c r="H555" i="7" s="1"/>
  <c r="H554" i="7" s="1"/>
  <c r="I582" i="7"/>
  <c r="I581" i="7" s="1"/>
  <c r="I580" i="7" s="1"/>
  <c r="H597" i="7"/>
  <c r="H604" i="7"/>
  <c r="I606" i="7"/>
  <c r="I608" i="7"/>
  <c r="H607" i="7"/>
  <c r="H637" i="7"/>
  <c r="I639" i="7"/>
  <c r="I573" i="7"/>
  <c r="H572" i="7"/>
  <c r="I617" i="7"/>
  <c r="H616" i="7"/>
  <c r="I654" i="7"/>
  <c r="H653" i="7"/>
  <c r="J662" i="7"/>
  <c r="J661" i="7" s="1"/>
  <c r="J660" i="7" s="1"/>
  <c r="J659" i="7" s="1"/>
  <c r="J658" i="7" s="1"/>
  <c r="I661" i="7"/>
  <c r="I660" i="7" s="1"/>
  <c r="I659" i="7" s="1"/>
  <c r="I658" i="7" s="1"/>
  <c r="I525" i="7"/>
  <c r="I534" i="7"/>
  <c r="H542" i="7"/>
  <c r="H541" i="7" s="1"/>
  <c r="H540" i="7" s="1"/>
  <c r="I550" i="7"/>
  <c r="J550" i="7" s="1"/>
  <c r="J548" i="7" s="1"/>
  <c r="H551" i="7"/>
  <c r="H547" i="7" s="1"/>
  <c r="H546" i="7" s="1"/>
  <c r="I576" i="7"/>
  <c r="H650" i="7"/>
  <c r="I652" i="7"/>
  <c r="H582" i="7"/>
  <c r="H581" i="7" s="1"/>
  <c r="H580" i="7" s="1"/>
  <c r="I595" i="7"/>
  <c r="H594" i="7"/>
  <c r="J611" i="7"/>
  <c r="J610" i="7" s="1"/>
  <c r="I610" i="7"/>
  <c r="I630" i="7"/>
  <c r="I641" i="7"/>
  <c r="H640" i="7"/>
  <c r="J657" i="7" l="1"/>
  <c r="H509" i="7"/>
  <c r="H508" i="7" s="1"/>
  <c r="G246" i="7"/>
  <c r="J485" i="7"/>
  <c r="J484" i="7" s="1"/>
  <c r="J483" i="7" s="1"/>
  <c r="J482" i="7" s="1"/>
  <c r="H398" i="7"/>
  <c r="G43" i="7"/>
  <c r="F218" i="7"/>
  <c r="G121" i="7"/>
  <c r="F507" i="7"/>
  <c r="F461" i="7" s="1"/>
  <c r="J533" i="7"/>
  <c r="J532" i="7" s="1"/>
  <c r="F282" i="7"/>
  <c r="F245" i="7" s="1"/>
  <c r="F569" i="7"/>
  <c r="F568" i="7" s="1"/>
  <c r="H297" i="7"/>
  <c r="H296" i="7" s="1"/>
  <c r="F370" i="7"/>
  <c r="I252" i="7"/>
  <c r="J280" i="7"/>
  <c r="J277" i="7" s="1"/>
  <c r="J276" i="7" s="1"/>
  <c r="J269" i="7" s="1"/>
  <c r="J246" i="7" s="1"/>
  <c r="F246" i="7"/>
  <c r="G432" i="7"/>
  <c r="G40" i="7"/>
  <c r="H420" i="7"/>
  <c r="H260" i="7"/>
  <c r="H259" i="7" s="1"/>
  <c r="H483" i="7"/>
  <c r="H482" i="7" s="1"/>
  <c r="I264" i="7"/>
  <c r="I260" i="7" s="1"/>
  <c r="I259" i="7" s="1"/>
  <c r="I113" i="7"/>
  <c r="I112" i="7" s="1"/>
  <c r="I111" i="7" s="1"/>
  <c r="I105" i="7" s="1"/>
  <c r="F40" i="7"/>
  <c r="H353" i="7"/>
  <c r="H352" i="7" s="1"/>
  <c r="I124" i="7"/>
  <c r="J547" i="7"/>
  <c r="J546" i="7" s="1"/>
  <c r="G568" i="7"/>
  <c r="H626" i="7"/>
  <c r="H625" i="7" s="1"/>
  <c r="I657" i="7"/>
  <c r="I90" i="7"/>
  <c r="I89" i="7" s="1"/>
  <c r="I88" i="7" s="1"/>
  <c r="H410" i="7"/>
  <c r="H371" i="7"/>
  <c r="I627" i="7"/>
  <c r="I626" i="7" s="1"/>
  <c r="I625" i="7" s="1"/>
  <c r="I465" i="7"/>
  <c r="I464" i="7" s="1"/>
  <c r="I463" i="7" s="1"/>
  <c r="I462" i="7" s="1"/>
  <c r="I366" i="7"/>
  <c r="I362" i="7" s="1"/>
  <c r="I361" i="7" s="1"/>
  <c r="H341" i="7"/>
  <c r="H340" i="7" s="1"/>
  <c r="J427" i="7"/>
  <c r="J426" i="7" s="1"/>
  <c r="J420" i="7" s="1"/>
  <c r="H161" i="7"/>
  <c r="H160" i="7" s="1"/>
  <c r="H105" i="7"/>
  <c r="H65" i="7"/>
  <c r="H64" i="7" s="1"/>
  <c r="I31" i="7"/>
  <c r="J90" i="7"/>
  <c r="J89" i="7" s="1"/>
  <c r="J88" i="7" s="1"/>
  <c r="J524" i="7"/>
  <c r="J523" i="7" s="1"/>
  <c r="H615" i="7"/>
  <c r="H614" i="7" s="1"/>
  <c r="I533" i="7"/>
  <c r="I532" i="7" s="1"/>
  <c r="H571" i="7"/>
  <c r="H570" i="7" s="1"/>
  <c r="H569" i="7" s="1"/>
  <c r="I529" i="7"/>
  <c r="I524" i="7" s="1"/>
  <c r="I523" i="7" s="1"/>
  <c r="H362" i="7"/>
  <c r="H361" i="7" s="1"/>
  <c r="J581" i="7"/>
  <c r="J580" i="7" s="1"/>
  <c r="H493" i="7"/>
  <c r="H492" i="7" s="1"/>
  <c r="H491" i="7" s="1"/>
  <c r="I192" i="7"/>
  <c r="I191" i="7" s="1"/>
  <c r="I187" i="7" s="1"/>
  <c r="I215" i="7"/>
  <c r="I214" i="7" s="1"/>
  <c r="I213" i="7" s="1"/>
  <c r="J260" i="7"/>
  <c r="J259" i="7" s="1"/>
  <c r="J319" i="7"/>
  <c r="J318" i="7" s="1"/>
  <c r="G370" i="7"/>
  <c r="J132" i="7"/>
  <c r="J131" i="7" s="1"/>
  <c r="J130" i="7" s="1"/>
  <c r="G146" i="7"/>
  <c r="I412" i="7"/>
  <c r="I411" i="7" s="1"/>
  <c r="J248" i="7"/>
  <c r="J247" i="7" s="1"/>
  <c r="I8" i="7"/>
  <c r="I621" i="7"/>
  <c r="F146" i="7"/>
  <c r="F43" i="7"/>
  <c r="I99" i="7"/>
  <c r="I98" i="7" s="1"/>
  <c r="I161" i="7"/>
  <c r="I160" i="7" s="1"/>
  <c r="H470" i="7"/>
  <c r="I416" i="7"/>
  <c r="I415" i="7" s="1"/>
  <c r="I379" i="7"/>
  <c r="I378" i="7" s="1"/>
  <c r="I371" i="7" s="1"/>
  <c r="I483" i="7"/>
  <c r="I482" i="7" s="1"/>
  <c r="J341" i="7"/>
  <c r="J340" i="7" s="1"/>
  <c r="H220" i="7"/>
  <c r="H219" i="7" s="1"/>
  <c r="H8" i="7"/>
  <c r="I237" i="7"/>
  <c r="I236" i="7" s="1"/>
  <c r="J105" i="7"/>
  <c r="H121" i="7"/>
  <c r="H646" i="7"/>
  <c r="H645" i="7" s="1"/>
  <c r="H644" i="7" s="1"/>
  <c r="G461" i="7"/>
  <c r="H284" i="7"/>
  <c r="H283" i="7" s="1"/>
  <c r="I353" i="7"/>
  <c r="I352" i="7" s="1"/>
  <c r="I127" i="7"/>
  <c r="J8" i="7"/>
  <c r="I138" i="7"/>
  <c r="I137" i="7" s="1"/>
  <c r="G282" i="7"/>
  <c r="I233" i="7"/>
  <c r="J234" i="7"/>
  <c r="J233" i="7" s="1"/>
  <c r="J410" i="7"/>
  <c r="J641" i="7"/>
  <c r="J640" i="7" s="1"/>
  <c r="I640" i="7"/>
  <c r="J595" i="7"/>
  <c r="J594" i="7" s="1"/>
  <c r="J593" i="7" s="1"/>
  <c r="J592" i="7" s="1"/>
  <c r="J591" i="7" s="1"/>
  <c r="I594" i="7"/>
  <c r="I593" i="7" s="1"/>
  <c r="I592" i="7" s="1"/>
  <c r="I591" i="7" s="1"/>
  <c r="J617" i="7"/>
  <c r="J616" i="7" s="1"/>
  <c r="J615" i="7" s="1"/>
  <c r="J614" i="7" s="1"/>
  <c r="I616" i="7"/>
  <c r="I615" i="7" s="1"/>
  <c r="I614" i="7" s="1"/>
  <c r="I637" i="7"/>
  <c r="J639" i="7"/>
  <c r="J637" i="7" s="1"/>
  <c r="J606" i="7"/>
  <c r="J604" i="7" s="1"/>
  <c r="I604" i="7"/>
  <c r="J654" i="7"/>
  <c r="J653" i="7" s="1"/>
  <c r="I653" i="7"/>
  <c r="H636" i="7"/>
  <c r="H635" i="7" s="1"/>
  <c r="H634" i="7" s="1"/>
  <c r="H603" i="7"/>
  <c r="H602" i="7" s="1"/>
  <c r="I548" i="7"/>
  <c r="I547" i="7" s="1"/>
  <c r="I546" i="7" s="1"/>
  <c r="I517" i="7"/>
  <c r="I516" i="7" s="1"/>
  <c r="I427" i="7"/>
  <c r="I426" i="7" s="1"/>
  <c r="I510" i="7"/>
  <c r="I509" i="7" s="1"/>
  <c r="I508" i="7" s="1"/>
  <c r="J511" i="7"/>
  <c r="J510" i="7" s="1"/>
  <c r="J509" i="7" s="1"/>
  <c r="J508" i="7" s="1"/>
  <c r="I476" i="7"/>
  <c r="I472" i="7" s="1"/>
  <c r="I471" i="7" s="1"/>
  <c r="J477" i="7"/>
  <c r="J476" i="7" s="1"/>
  <c r="J472" i="7" s="1"/>
  <c r="J471" i="7" s="1"/>
  <c r="J445" i="7"/>
  <c r="J444" i="7" s="1"/>
  <c r="I319" i="7"/>
  <c r="I318" i="7" s="1"/>
  <c r="J385" i="7"/>
  <c r="J353" i="7"/>
  <c r="J352" i="7" s="1"/>
  <c r="J338" i="7"/>
  <c r="J337" i="7" s="1"/>
  <c r="I337" i="7"/>
  <c r="J223" i="7"/>
  <c r="J221" i="7" s="1"/>
  <c r="I221" i="7"/>
  <c r="I248" i="7"/>
  <c r="I247" i="7" s="1"/>
  <c r="J237" i="7"/>
  <c r="J236" i="7" s="1"/>
  <c r="H99" i="7"/>
  <c r="H98" i="7" s="1"/>
  <c r="J29" i="7"/>
  <c r="J28" i="7" s="1"/>
  <c r="I28" i="7"/>
  <c r="J31" i="7"/>
  <c r="J99" i="7"/>
  <c r="J98" i="7" s="1"/>
  <c r="I494" i="7"/>
  <c r="I493" i="7" s="1"/>
  <c r="I492" i="7" s="1"/>
  <c r="I491" i="7" s="1"/>
  <c r="J495" i="7"/>
  <c r="J494" i="7" s="1"/>
  <c r="J493" i="7" s="1"/>
  <c r="J492" i="7" s="1"/>
  <c r="J491" i="7" s="1"/>
  <c r="H445" i="7"/>
  <c r="H444" i="7" s="1"/>
  <c r="H432" i="7" s="1"/>
  <c r="J362" i="7"/>
  <c r="J361" i="7" s="1"/>
  <c r="I328" i="7"/>
  <c r="I327" i="7" s="1"/>
  <c r="I326" i="7" s="1"/>
  <c r="J329" i="7"/>
  <c r="J328" i="7" s="1"/>
  <c r="J327" i="7" s="1"/>
  <c r="J326" i="7" s="1"/>
  <c r="I293" i="7"/>
  <c r="J294" i="7"/>
  <c r="J293" i="7" s="1"/>
  <c r="J290" i="7"/>
  <c r="J289" i="7" s="1"/>
  <c r="I289" i="7"/>
  <c r="I398" i="7"/>
  <c r="J299" i="7"/>
  <c r="J298" i="7" s="1"/>
  <c r="J297" i="7" s="1"/>
  <c r="J296" i="7" s="1"/>
  <c r="I298" i="7"/>
  <c r="I297" i="7" s="1"/>
  <c r="I296" i="7" s="1"/>
  <c r="I420" i="7"/>
  <c r="J371" i="7"/>
  <c r="J226" i="7"/>
  <c r="J225" i="7" s="1"/>
  <c r="I225" i="7"/>
  <c r="J229" i="7"/>
  <c r="J228" i="7" s="1"/>
  <c r="I228" i="7"/>
  <c r="J211" i="7"/>
  <c r="J210" i="7" s="1"/>
  <c r="I210" i="7"/>
  <c r="H31" i="7"/>
  <c r="H40" i="7" s="1"/>
  <c r="J26" i="7"/>
  <c r="J25" i="7" s="1"/>
  <c r="I25" i="7"/>
  <c r="J138" i="7"/>
  <c r="J137" i="7" s="1"/>
  <c r="I650" i="7"/>
  <c r="J652" i="7"/>
  <c r="J650" i="7" s="1"/>
  <c r="I572" i="7"/>
  <c r="J573" i="7"/>
  <c r="J572" i="7" s="1"/>
  <c r="H593" i="7"/>
  <c r="H592" i="7" s="1"/>
  <c r="H591" i="7" s="1"/>
  <c r="J608" i="7"/>
  <c r="J607" i="7" s="1"/>
  <c r="I607" i="7"/>
  <c r="I434" i="7"/>
  <c r="I433" i="7" s="1"/>
  <c r="I341" i="7"/>
  <c r="I340" i="7" s="1"/>
  <c r="J434" i="7"/>
  <c r="J433" i="7" s="1"/>
  <c r="J398" i="7"/>
  <c r="J334" i="7"/>
  <c r="J333" i="7" s="1"/>
  <c r="I333" i="7"/>
  <c r="H237" i="7"/>
  <c r="H236" i="7" s="1"/>
  <c r="I269" i="7"/>
  <c r="H202" i="7"/>
  <c r="H201" i="7" s="1"/>
  <c r="J209" i="7"/>
  <c r="J207" i="7" s="1"/>
  <c r="I207" i="7"/>
  <c r="I202" i="7" s="1"/>
  <c r="I201" i="7" s="1"/>
  <c r="J23" i="7"/>
  <c r="J22" i="7" s="1"/>
  <c r="I22" i="7"/>
  <c r="J187" i="7"/>
  <c r="I123" i="7"/>
  <c r="I122" i="7" s="1"/>
  <c r="J626" i="7"/>
  <c r="J625" i="7" s="1"/>
  <c r="J576" i="7"/>
  <c r="J575" i="7" s="1"/>
  <c r="I575" i="7"/>
  <c r="H507" i="7"/>
  <c r="H385" i="7"/>
  <c r="I445" i="7"/>
  <c r="I444" i="7" s="1"/>
  <c r="I385" i="7"/>
  <c r="J308" i="7"/>
  <c r="J307" i="7" s="1"/>
  <c r="J306" i="7" s="1"/>
  <c r="J305" i="7" s="1"/>
  <c r="I307" i="7"/>
  <c r="I306" i="7" s="1"/>
  <c r="I305" i="7" s="1"/>
  <c r="I285" i="7"/>
  <c r="J286" i="7"/>
  <c r="J285" i="7" s="1"/>
  <c r="H248" i="7"/>
  <c r="H247" i="7" s="1"/>
  <c r="H246" i="7" s="1"/>
  <c r="J67" i="7"/>
  <c r="J66" i="7" s="1"/>
  <c r="I66" i="7"/>
  <c r="I73" i="7"/>
  <c r="J75" i="7"/>
  <c r="J73" i="7" s="1"/>
  <c r="I132" i="7"/>
  <c r="I131" i="7" s="1"/>
  <c r="I130" i="7" s="1"/>
  <c r="J123" i="7"/>
  <c r="J122" i="7" s="1"/>
  <c r="H370" i="7" l="1"/>
  <c r="H43" i="7"/>
  <c r="J507" i="7"/>
  <c r="H601" i="7"/>
  <c r="H568" i="7" s="1"/>
  <c r="J646" i="7"/>
  <c r="J645" i="7" s="1"/>
  <c r="J644" i="7" s="1"/>
  <c r="G245" i="7"/>
  <c r="G42" i="7"/>
  <c r="J18" i="7"/>
  <c r="J40" i="7" s="1"/>
  <c r="F42" i="7"/>
  <c r="F675" i="7" s="1"/>
  <c r="F676" i="7" s="1"/>
  <c r="H461" i="7"/>
  <c r="I470" i="7"/>
  <c r="H146" i="7"/>
  <c r="I332" i="7"/>
  <c r="I331" i="7" s="1"/>
  <c r="J121" i="7"/>
  <c r="I646" i="7"/>
  <c r="I645" i="7" s="1"/>
  <c r="I644" i="7" s="1"/>
  <c r="I284" i="7"/>
  <c r="I283" i="7" s="1"/>
  <c r="I282" i="7" s="1"/>
  <c r="H218" i="7"/>
  <c r="H282" i="7"/>
  <c r="H245" i="7" s="1"/>
  <c r="J636" i="7"/>
  <c r="J635" i="7" s="1"/>
  <c r="J634" i="7" s="1"/>
  <c r="I410" i="7"/>
  <c r="I370" i="7" s="1"/>
  <c r="I146" i="7"/>
  <c r="J432" i="7"/>
  <c r="J284" i="7"/>
  <c r="J283" i="7" s="1"/>
  <c r="J332" i="7"/>
  <c r="J331" i="7" s="1"/>
  <c r="I18" i="7"/>
  <c r="I40" i="7" s="1"/>
  <c r="J65" i="7"/>
  <c r="J64" i="7" s="1"/>
  <c r="J43" i="7" s="1"/>
  <c r="J202" i="7"/>
  <c r="J201" i="7" s="1"/>
  <c r="J146" i="7" s="1"/>
  <c r="I507" i="7"/>
  <c r="I636" i="7"/>
  <c r="I635" i="7" s="1"/>
  <c r="I634" i="7" s="1"/>
  <c r="I121" i="7"/>
  <c r="I571" i="7"/>
  <c r="I570" i="7" s="1"/>
  <c r="I569" i="7" s="1"/>
  <c r="J220" i="7"/>
  <c r="J219" i="7" s="1"/>
  <c r="J218" i="7" s="1"/>
  <c r="I65" i="7"/>
  <c r="I64" i="7" s="1"/>
  <c r="I43" i="7" s="1"/>
  <c r="I432" i="7"/>
  <c r="I603" i="7"/>
  <c r="I602" i="7" s="1"/>
  <c r="I601" i="7" s="1"/>
  <c r="I246" i="7"/>
  <c r="J603" i="7"/>
  <c r="J602" i="7" s="1"/>
  <c r="J601" i="7" s="1"/>
  <c r="J470" i="7"/>
  <c r="J571" i="7"/>
  <c r="J570" i="7" s="1"/>
  <c r="J569" i="7" s="1"/>
  <c r="J370" i="7"/>
  <c r="I220" i="7"/>
  <c r="I219" i="7" s="1"/>
  <c r="I218" i="7" s="1"/>
  <c r="G675" i="7" l="1"/>
  <c r="G676" i="7" s="1"/>
  <c r="J461" i="7"/>
  <c r="I461" i="7"/>
  <c r="J282" i="7"/>
  <c r="J245" i="7" s="1"/>
  <c r="H42" i="7"/>
  <c r="H675" i="7" s="1"/>
  <c r="H676" i="7" s="1"/>
  <c r="J42" i="7"/>
  <c r="I568" i="7"/>
  <c r="I245" i="7"/>
  <c r="J568" i="7"/>
  <c r="I42" i="7"/>
  <c r="J675" i="7" l="1"/>
  <c r="J676" i="7" s="1"/>
  <c r="I675" i="7"/>
  <c r="I676" i="7" s="1"/>
  <c r="I685" i="7" s="1"/>
  <c r="F52" i="2" l="1"/>
  <c r="F197" i="2" l="1"/>
  <c r="K287" i="2"/>
  <c r="H172" i="5"/>
  <c r="H175" i="5" s="1"/>
  <c r="H202" i="5" s="1"/>
  <c r="H209" i="5" s="1"/>
  <c r="H128" i="5"/>
  <c r="H131" i="5" s="1"/>
  <c r="H135" i="5" s="1"/>
  <c r="H43" i="5"/>
  <c r="H46" i="5" s="1"/>
  <c r="H87" i="5" s="1"/>
  <c r="H90" i="5" s="1"/>
  <c r="H112" i="5" s="1"/>
  <c r="F200" i="2" l="1"/>
  <c r="F26" i="4" l="1"/>
  <c r="G25" i="4"/>
  <c r="Q163" i="3"/>
  <c r="U690" i="3" l="1"/>
  <c r="U689" i="3" s="1"/>
  <c r="U688" i="3" s="1"/>
  <c r="T689" i="3"/>
  <c r="T688" i="3" s="1"/>
  <c r="S689" i="3"/>
  <c r="S688" i="3" s="1"/>
  <c r="R689" i="3"/>
  <c r="R695" i="3" s="1"/>
  <c r="R696" i="3" s="1"/>
  <c r="Q689" i="3"/>
  <c r="Q688" i="3" s="1"/>
  <c r="U687" i="3"/>
  <c r="T687" i="3"/>
  <c r="R687" i="3"/>
  <c r="N696" i="3"/>
  <c r="N692" i="3"/>
  <c r="N689" i="3"/>
  <c r="N688" i="3" s="1"/>
  <c r="N687" i="3"/>
  <c r="I695" i="3"/>
  <c r="I688" i="3"/>
  <c r="I692" i="3"/>
  <c r="I689" i="3"/>
  <c r="I687" i="3"/>
  <c r="Q695" i="3" l="1"/>
  <c r="U695" i="3"/>
  <c r="U696" i="3" s="1"/>
  <c r="T695" i="3"/>
  <c r="T696" i="3" s="1"/>
  <c r="S695" i="3"/>
  <c r="R688" i="3"/>
  <c r="N695" i="3"/>
  <c r="U684" i="3" l="1"/>
  <c r="U683" i="3" s="1"/>
  <c r="U682" i="3" s="1"/>
  <c r="U681" i="3" s="1"/>
  <c r="T684" i="3"/>
  <c r="S684" i="3"/>
  <c r="S683" i="3" s="1"/>
  <c r="S682" i="3" s="1"/>
  <c r="S681" i="3" s="1"/>
  <c r="R684" i="3"/>
  <c r="T683" i="3"/>
  <c r="T682" i="3" s="1"/>
  <c r="T681" i="3" s="1"/>
  <c r="R683" i="3"/>
  <c r="R682" i="3" s="1"/>
  <c r="R681" i="3" s="1"/>
  <c r="U672" i="3"/>
  <c r="U671" i="3" s="1"/>
  <c r="U670" i="3" s="1"/>
  <c r="U669" i="3" s="1"/>
  <c r="T672" i="3"/>
  <c r="T671" i="3" s="1"/>
  <c r="T670" i="3" s="1"/>
  <c r="T669" i="3" s="1"/>
  <c r="S672" i="3"/>
  <c r="S671" i="3" s="1"/>
  <c r="S670" i="3" s="1"/>
  <c r="S669" i="3" s="1"/>
  <c r="R672" i="3"/>
  <c r="R671" i="3"/>
  <c r="R670" i="3" s="1"/>
  <c r="R669" i="3" s="1"/>
  <c r="U664" i="3"/>
  <c r="T664" i="3"/>
  <c r="S664" i="3"/>
  <c r="R664" i="3"/>
  <c r="U661" i="3"/>
  <c r="T661" i="3"/>
  <c r="S661" i="3"/>
  <c r="R661" i="3"/>
  <c r="U658" i="3"/>
  <c r="T658" i="3"/>
  <c r="S658" i="3"/>
  <c r="R658" i="3"/>
  <c r="R657" i="3" s="1"/>
  <c r="R656" i="3" s="1"/>
  <c r="R655" i="3" s="1"/>
  <c r="T657" i="3"/>
  <c r="T656" i="3" s="1"/>
  <c r="T655" i="3" s="1"/>
  <c r="U651" i="3"/>
  <c r="T651" i="3"/>
  <c r="S651" i="3"/>
  <c r="R651" i="3"/>
  <c r="U648" i="3"/>
  <c r="U647" i="3" s="1"/>
  <c r="U646" i="3" s="1"/>
  <c r="U645" i="3" s="1"/>
  <c r="T648" i="3"/>
  <c r="S648" i="3"/>
  <c r="R648" i="3"/>
  <c r="U641" i="3"/>
  <c r="T641" i="3"/>
  <c r="S641" i="3"/>
  <c r="R641" i="3"/>
  <c r="U638" i="3"/>
  <c r="T638" i="3"/>
  <c r="S638" i="3"/>
  <c r="R638" i="3"/>
  <c r="R637" i="3" s="1"/>
  <c r="R636" i="3" s="1"/>
  <c r="U637" i="3"/>
  <c r="U636" i="3" s="1"/>
  <c r="U632" i="3"/>
  <c r="T632" i="3"/>
  <c r="R632" i="3"/>
  <c r="Q632" i="3"/>
  <c r="U627" i="3"/>
  <c r="U626" i="3" s="1"/>
  <c r="U625" i="3" s="1"/>
  <c r="T627" i="3"/>
  <c r="R627" i="3"/>
  <c r="R626" i="3" s="1"/>
  <c r="R625" i="3" s="1"/>
  <c r="Q627" i="3"/>
  <c r="U615" i="3"/>
  <c r="T615" i="3"/>
  <c r="S615" i="3"/>
  <c r="R615" i="3"/>
  <c r="R614" i="3" s="1"/>
  <c r="R613" i="3" s="1"/>
  <c r="U614" i="3"/>
  <c r="U613" i="3" s="1"/>
  <c r="T614" i="3"/>
  <c r="T613" i="3" s="1"/>
  <c r="S614" i="3"/>
  <c r="S613" i="3" s="1"/>
  <c r="U608" i="3"/>
  <c r="T608" i="3"/>
  <c r="S608" i="3"/>
  <c r="R608" i="3"/>
  <c r="U605" i="3"/>
  <c r="T605" i="3"/>
  <c r="T604" i="3" s="1"/>
  <c r="T603" i="3" s="1"/>
  <c r="T602" i="3" s="1"/>
  <c r="S605" i="3"/>
  <c r="R605" i="3"/>
  <c r="R604" i="3" s="1"/>
  <c r="R603" i="3" s="1"/>
  <c r="R602" i="3" s="1"/>
  <c r="U598" i="3"/>
  <c r="T598" i="3"/>
  <c r="S598" i="3"/>
  <c r="R598" i="3"/>
  <c r="U593" i="3"/>
  <c r="T593" i="3"/>
  <c r="S593" i="3"/>
  <c r="S592" i="3" s="1"/>
  <c r="S591" i="3" s="1"/>
  <c r="R593" i="3"/>
  <c r="U592" i="3"/>
  <c r="U591" i="3" s="1"/>
  <c r="U583" i="3"/>
  <c r="U582" i="3" s="1"/>
  <c r="U581" i="3" s="1"/>
  <c r="T583" i="3"/>
  <c r="S583" i="3"/>
  <c r="S582" i="3" s="1"/>
  <c r="S581" i="3" s="1"/>
  <c r="R583" i="3"/>
  <c r="R582" i="3" s="1"/>
  <c r="R581" i="3" s="1"/>
  <c r="Q583" i="3"/>
  <c r="Q582" i="3" s="1"/>
  <c r="Q581" i="3" s="1"/>
  <c r="T582" i="3"/>
  <c r="T581" i="3" s="1"/>
  <c r="U574" i="3"/>
  <c r="U573" i="3" s="1"/>
  <c r="U572" i="3" s="1"/>
  <c r="T574" i="3"/>
  <c r="T573" i="3" s="1"/>
  <c r="T572" i="3" s="1"/>
  <c r="R574" i="3"/>
  <c r="R573" i="3" s="1"/>
  <c r="R572" i="3" s="1"/>
  <c r="Q574" i="3"/>
  <c r="Q573" i="3" s="1"/>
  <c r="Q572" i="3" s="1"/>
  <c r="U567" i="3"/>
  <c r="U566" i="3" s="1"/>
  <c r="U565" i="3" s="1"/>
  <c r="T567" i="3"/>
  <c r="T566" i="3" s="1"/>
  <c r="T565" i="3" s="1"/>
  <c r="Q567" i="3"/>
  <c r="Q566" i="3" s="1"/>
  <c r="Q565" i="3" s="1"/>
  <c r="U562" i="3"/>
  <c r="T562" i="3"/>
  <c r="R562" i="3"/>
  <c r="Q562" i="3"/>
  <c r="U559" i="3"/>
  <c r="T559" i="3"/>
  <c r="T558" i="3" s="1"/>
  <c r="T557" i="3" s="1"/>
  <c r="R559" i="3"/>
  <c r="R558" i="3" s="1"/>
  <c r="R557" i="3" s="1"/>
  <c r="Q559" i="3"/>
  <c r="U558" i="3"/>
  <c r="U557" i="3" s="1"/>
  <c r="T553" i="3"/>
  <c r="S553" i="3"/>
  <c r="S552" i="3" s="1"/>
  <c r="S551" i="3" s="1"/>
  <c r="R553" i="3"/>
  <c r="Q553" i="3"/>
  <c r="Q552" i="3" s="1"/>
  <c r="Q551" i="3" s="1"/>
  <c r="T552" i="3"/>
  <c r="T551" i="3" s="1"/>
  <c r="R552" i="3"/>
  <c r="R551" i="3" s="1"/>
  <c r="U548" i="3"/>
  <c r="S548" i="3"/>
  <c r="R548" i="3"/>
  <c r="Q548" i="3"/>
  <c r="U545" i="3"/>
  <c r="S545" i="3"/>
  <c r="R545" i="3"/>
  <c r="R544" i="3" s="1"/>
  <c r="R543" i="3" s="1"/>
  <c r="Q545" i="3"/>
  <c r="U540" i="3"/>
  <c r="T540" i="3"/>
  <c r="S540" i="3"/>
  <c r="Q540" i="3"/>
  <c r="U536" i="3"/>
  <c r="S536" i="3"/>
  <c r="Q536" i="3"/>
  <c r="T531" i="3"/>
  <c r="S531" i="3"/>
  <c r="R531" i="3"/>
  <c r="Q531" i="3"/>
  <c r="T529" i="3"/>
  <c r="S529" i="3"/>
  <c r="S528" i="3" s="1"/>
  <c r="S527" i="3" s="1"/>
  <c r="R529" i="3"/>
  <c r="R528" i="3" s="1"/>
  <c r="R527" i="3" s="1"/>
  <c r="Q529" i="3"/>
  <c r="Q528" i="3" s="1"/>
  <c r="Q527" i="3" s="1"/>
  <c r="U524" i="3"/>
  <c r="T524" i="3"/>
  <c r="R524" i="3"/>
  <c r="Q524" i="3"/>
  <c r="U521" i="3"/>
  <c r="T521" i="3"/>
  <c r="T520" i="3" s="1"/>
  <c r="T519" i="3" s="1"/>
  <c r="R521" i="3"/>
  <c r="R520" i="3" s="1"/>
  <c r="R519" i="3" s="1"/>
  <c r="Q521" i="3"/>
  <c r="U513" i="3"/>
  <c r="U512" i="3" s="1"/>
  <c r="U511" i="3" s="1"/>
  <c r="T513" i="3"/>
  <c r="T512" i="3" s="1"/>
  <c r="T511" i="3" s="1"/>
  <c r="Q513" i="3"/>
  <c r="Q512" i="3" s="1"/>
  <c r="Q511" i="3" s="1"/>
  <c r="U508" i="3"/>
  <c r="S508" i="3"/>
  <c r="R508" i="3"/>
  <c r="Q508" i="3"/>
  <c r="U505" i="3"/>
  <c r="U504" i="3" s="1"/>
  <c r="U503" i="3" s="1"/>
  <c r="S505" i="3"/>
  <c r="S504" i="3" s="1"/>
  <c r="S503" i="3" s="1"/>
  <c r="R505" i="3"/>
  <c r="Q505" i="3"/>
  <c r="Q504" i="3" s="1"/>
  <c r="Q503" i="3" s="1"/>
  <c r="U484" i="3"/>
  <c r="U483" i="3" s="1"/>
  <c r="U482" i="3" s="1"/>
  <c r="U481" i="3" s="1"/>
  <c r="S484" i="3"/>
  <c r="S483" i="3" s="1"/>
  <c r="S482" i="3" s="1"/>
  <c r="S481" i="3" s="1"/>
  <c r="R484" i="3"/>
  <c r="Q484" i="3"/>
  <c r="Q483" i="3" s="1"/>
  <c r="Q482" i="3" s="1"/>
  <c r="Q481" i="3" s="1"/>
  <c r="R483" i="3"/>
  <c r="R482" i="3" s="1"/>
  <c r="R481" i="3" s="1"/>
  <c r="U478" i="3"/>
  <c r="S478" i="3"/>
  <c r="R478" i="3"/>
  <c r="Q478" i="3"/>
  <c r="U476" i="3"/>
  <c r="U475" i="3" s="1"/>
  <c r="U474" i="3" s="1"/>
  <c r="U473" i="3" s="1"/>
  <c r="S476" i="3"/>
  <c r="R476" i="3"/>
  <c r="Q476" i="3"/>
  <c r="Q475" i="3" s="1"/>
  <c r="Q474" i="3" s="1"/>
  <c r="Q473" i="3" s="1"/>
  <c r="U469" i="3"/>
  <c r="U468" i="3" s="1"/>
  <c r="U467" i="3" s="1"/>
  <c r="U466" i="3" s="1"/>
  <c r="T469" i="3"/>
  <c r="T468" i="3" s="1"/>
  <c r="T467" i="3" s="1"/>
  <c r="T466" i="3" s="1"/>
  <c r="S469" i="3"/>
  <c r="S468" i="3" s="1"/>
  <c r="S467" i="3" s="1"/>
  <c r="S466" i="3" s="1"/>
  <c r="R469" i="3"/>
  <c r="R468" i="3" s="1"/>
  <c r="R467" i="3" s="1"/>
  <c r="R466" i="3" s="1"/>
  <c r="U452" i="3"/>
  <c r="T452" i="3"/>
  <c r="S452" i="3"/>
  <c r="R452" i="3"/>
  <c r="U450" i="3"/>
  <c r="T450" i="3"/>
  <c r="S450" i="3"/>
  <c r="R450" i="3"/>
  <c r="U446" i="3"/>
  <c r="T446" i="3"/>
  <c r="S446" i="3"/>
  <c r="R446" i="3"/>
  <c r="R445" i="3" s="1"/>
  <c r="R444" i="3" s="1"/>
  <c r="R443" i="3" s="1"/>
  <c r="U438" i="3"/>
  <c r="U437" i="3" s="1"/>
  <c r="T438" i="3"/>
  <c r="T437" i="3" s="1"/>
  <c r="S438" i="3"/>
  <c r="S437" i="3" s="1"/>
  <c r="R438" i="3"/>
  <c r="R437" i="3" s="1"/>
  <c r="U433" i="3"/>
  <c r="U432" i="3" s="1"/>
  <c r="T433" i="3"/>
  <c r="T432" i="3" s="1"/>
  <c r="S433" i="3"/>
  <c r="S432" i="3" s="1"/>
  <c r="R433" i="3"/>
  <c r="R432" i="3" s="1"/>
  <c r="U390" i="3"/>
  <c r="U389" i="3" s="1"/>
  <c r="T390" i="3"/>
  <c r="T389" i="3" s="1"/>
  <c r="S390" i="3"/>
  <c r="S389" i="3" s="1"/>
  <c r="R390" i="3"/>
  <c r="R389" i="3" s="1"/>
  <c r="U384" i="3"/>
  <c r="T384" i="3"/>
  <c r="S384" i="3"/>
  <c r="S383" i="3" s="1"/>
  <c r="R384" i="3"/>
  <c r="R383" i="3" s="1"/>
  <c r="U383" i="3"/>
  <c r="T383" i="3"/>
  <c r="U377" i="3"/>
  <c r="T377" i="3"/>
  <c r="S377" i="3"/>
  <c r="R377" i="3"/>
  <c r="U374" i="3"/>
  <c r="U373" i="3" s="1"/>
  <c r="U372" i="3" s="1"/>
  <c r="T374" i="3"/>
  <c r="S374" i="3"/>
  <c r="R374" i="3"/>
  <c r="S373" i="3"/>
  <c r="S372" i="3" s="1"/>
  <c r="U369" i="3"/>
  <c r="T369" i="3"/>
  <c r="S369" i="3"/>
  <c r="R369" i="3"/>
  <c r="U365" i="3"/>
  <c r="T365" i="3"/>
  <c r="S365" i="3"/>
  <c r="R365" i="3"/>
  <c r="R364" i="3" s="1"/>
  <c r="R363" i="3" s="1"/>
  <c r="U360" i="3"/>
  <c r="T360" i="3"/>
  <c r="T359" i="3" s="1"/>
  <c r="T358" i="3" s="1"/>
  <c r="S360" i="3"/>
  <c r="S359" i="3" s="1"/>
  <c r="S358" i="3" s="1"/>
  <c r="R360" i="3"/>
  <c r="R359" i="3" s="1"/>
  <c r="R358" i="3" s="1"/>
  <c r="U359" i="3"/>
  <c r="U358" i="3" s="1"/>
  <c r="U355" i="3"/>
  <c r="T355" i="3"/>
  <c r="S355" i="3"/>
  <c r="R355" i="3"/>
  <c r="U353" i="3"/>
  <c r="T353" i="3"/>
  <c r="T352" i="3" s="1"/>
  <c r="T351" i="3" s="1"/>
  <c r="S353" i="3"/>
  <c r="R353" i="3"/>
  <c r="R352" i="3" s="1"/>
  <c r="R351" i="3" s="1"/>
  <c r="U348" i="3"/>
  <c r="T348" i="3"/>
  <c r="S348" i="3"/>
  <c r="R348" i="3"/>
  <c r="U344" i="3"/>
  <c r="T344" i="3"/>
  <c r="T343" i="3" s="1"/>
  <c r="T342" i="3" s="1"/>
  <c r="S344" i="3"/>
  <c r="R344" i="3"/>
  <c r="R343" i="3" s="1"/>
  <c r="R342" i="3" s="1"/>
  <c r="U343" i="3"/>
  <c r="U342" i="3" s="1"/>
  <c r="U339" i="3"/>
  <c r="T339" i="3"/>
  <c r="T338" i="3" s="1"/>
  <c r="T337" i="3" s="1"/>
  <c r="S339" i="3"/>
  <c r="S338" i="3" s="1"/>
  <c r="S337" i="3" s="1"/>
  <c r="R339" i="3"/>
  <c r="U338" i="3"/>
  <c r="R338" i="3"/>
  <c r="R337" i="3" s="1"/>
  <c r="U337" i="3"/>
  <c r="U333" i="3"/>
  <c r="T333" i="3"/>
  <c r="S333" i="3"/>
  <c r="R333" i="3"/>
  <c r="U331" i="3"/>
  <c r="U330" i="3" s="1"/>
  <c r="U329" i="3" s="1"/>
  <c r="T331" i="3"/>
  <c r="S331" i="3"/>
  <c r="S330" i="3" s="1"/>
  <c r="S329" i="3" s="1"/>
  <c r="R331" i="3"/>
  <c r="R330" i="3" s="1"/>
  <c r="R329" i="3" s="1"/>
  <c r="U326" i="3"/>
  <c r="U325" i="3" s="1"/>
  <c r="T326" i="3"/>
  <c r="T325" i="3" s="1"/>
  <c r="S326" i="3"/>
  <c r="S325" i="3" s="1"/>
  <c r="R326" i="3"/>
  <c r="R325" i="3" s="1"/>
  <c r="U322" i="3"/>
  <c r="T322" i="3"/>
  <c r="S322" i="3"/>
  <c r="R322" i="3"/>
  <c r="U318" i="3"/>
  <c r="T318" i="3"/>
  <c r="T317" i="3" s="1"/>
  <c r="S318" i="3"/>
  <c r="R318" i="3"/>
  <c r="R317" i="3" s="1"/>
  <c r="U312" i="3"/>
  <c r="T312" i="3"/>
  <c r="S312" i="3"/>
  <c r="R312" i="3"/>
  <c r="U309" i="3"/>
  <c r="T309" i="3"/>
  <c r="S309" i="3"/>
  <c r="R309" i="3"/>
  <c r="U308" i="3"/>
  <c r="U307" i="3" s="1"/>
  <c r="U304" i="3"/>
  <c r="T304" i="3"/>
  <c r="S304" i="3"/>
  <c r="R304" i="3"/>
  <c r="U300" i="3"/>
  <c r="T300" i="3"/>
  <c r="S300" i="3"/>
  <c r="R300" i="3"/>
  <c r="U296" i="3"/>
  <c r="T296" i="3"/>
  <c r="T295" i="3" s="1"/>
  <c r="T294" i="3" s="1"/>
  <c r="S296" i="3"/>
  <c r="R296" i="3"/>
  <c r="R295" i="3" s="1"/>
  <c r="R294" i="3" s="1"/>
  <c r="U288" i="3"/>
  <c r="T288" i="3"/>
  <c r="S288" i="3"/>
  <c r="S287" i="3" s="1"/>
  <c r="R288" i="3"/>
  <c r="R287" i="3" s="1"/>
  <c r="U287" i="3"/>
  <c r="T287" i="3"/>
  <c r="U282" i="3"/>
  <c r="T282" i="3"/>
  <c r="S282" i="3"/>
  <c r="S281" i="3" s="1"/>
  <c r="R282" i="3"/>
  <c r="R281" i="3" s="1"/>
  <c r="U281" i="3"/>
  <c r="T281" i="3"/>
  <c r="T280" i="3" s="1"/>
  <c r="U277" i="3"/>
  <c r="T277" i="3"/>
  <c r="S277" i="3"/>
  <c r="R277" i="3"/>
  <c r="U275" i="3"/>
  <c r="T275" i="3"/>
  <c r="S275" i="3"/>
  <c r="R275" i="3"/>
  <c r="U272" i="3"/>
  <c r="T272" i="3"/>
  <c r="S272" i="3"/>
  <c r="R272" i="3"/>
  <c r="R271" i="3" s="1"/>
  <c r="R270" i="3" s="1"/>
  <c r="U267" i="3"/>
  <c r="T267" i="3"/>
  <c r="S267" i="3"/>
  <c r="R267" i="3"/>
  <c r="U263" i="3"/>
  <c r="T263" i="3"/>
  <c r="S263" i="3"/>
  <c r="R263" i="3"/>
  <c r="U260" i="3"/>
  <c r="T260" i="3"/>
  <c r="T259" i="3" s="1"/>
  <c r="T258" i="3" s="1"/>
  <c r="S260" i="3"/>
  <c r="R260" i="3"/>
  <c r="R259" i="3" s="1"/>
  <c r="R258" i="3" s="1"/>
  <c r="Q260" i="3"/>
  <c r="U253" i="3"/>
  <c r="T253" i="3"/>
  <c r="R253" i="3"/>
  <c r="Q253" i="3"/>
  <c r="U251" i="3"/>
  <c r="T251" i="3"/>
  <c r="R251" i="3"/>
  <c r="Q251" i="3"/>
  <c r="U249" i="3"/>
  <c r="T249" i="3"/>
  <c r="T248" i="3" s="1"/>
  <c r="T247" i="3" s="1"/>
  <c r="R249" i="3"/>
  <c r="Q249" i="3"/>
  <c r="T244" i="3"/>
  <c r="S244" i="3"/>
  <c r="R244" i="3"/>
  <c r="Q244" i="3"/>
  <c r="T241" i="3"/>
  <c r="S241" i="3"/>
  <c r="R241" i="3"/>
  <c r="Q241" i="3"/>
  <c r="T239" i="3"/>
  <c r="S239" i="3"/>
  <c r="R239" i="3"/>
  <c r="Q239" i="3"/>
  <c r="T236" i="3"/>
  <c r="R236" i="3"/>
  <c r="Q236" i="3"/>
  <c r="T232" i="3"/>
  <c r="S232" i="3"/>
  <c r="R232" i="3"/>
  <c r="Q232" i="3"/>
  <c r="U226" i="3"/>
  <c r="T226" i="3"/>
  <c r="T225" i="3" s="1"/>
  <c r="T224" i="3" s="1"/>
  <c r="S226" i="3"/>
  <c r="S225" i="3" s="1"/>
  <c r="S224" i="3" s="1"/>
  <c r="Q226" i="3"/>
  <c r="U225" i="3"/>
  <c r="U224" i="3" s="1"/>
  <c r="Q225" i="3"/>
  <c r="Q224" i="3" s="1"/>
  <c r="T214" i="3"/>
  <c r="S214" i="3"/>
  <c r="S213" i="3" s="1"/>
  <c r="S212" i="3" s="1"/>
  <c r="R214" i="3"/>
  <c r="R213" i="3" s="1"/>
  <c r="R212" i="3" s="1"/>
  <c r="Q214" i="3"/>
  <c r="Q213" i="3" s="1"/>
  <c r="Q212" i="3" s="1"/>
  <c r="T213" i="3"/>
  <c r="T212" i="3" s="1"/>
  <c r="T208" i="3"/>
  <c r="S208" i="3"/>
  <c r="S207" i="3" s="1"/>
  <c r="S206" i="3" s="1"/>
  <c r="R208" i="3"/>
  <c r="R207" i="3" s="1"/>
  <c r="R206" i="3" s="1"/>
  <c r="Q208" i="3"/>
  <c r="Q207" i="3" s="1"/>
  <c r="Q206" i="3" s="1"/>
  <c r="T207" i="3"/>
  <c r="T206" i="3" s="1"/>
  <c r="U203" i="3"/>
  <c r="T203" i="3"/>
  <c r="T202" i="3" s="1"/>
  <c r="S203" i="3"/>
  <c r="S202" i="3" s="1"/>
  <c r="Q203" i="3"/>
  <c r="Q202" i="3" s="1"/>
  <c r="U202" i="3"/>
  <c r="T200" i="3"/>
  <c r="T199" i="3" s="1"/>
  <c r="S200" i="3"/>
  <c r="S199" i="3" s="1"/>
  <c r="R200" i="3"/>
  <c r="R199" i="3" s="1"/>
  <c r="Q200" i="3"/>
  <c r="Q199" i="3" s="1"/>
  <c r="T194" i="3"/>
  <c r="S194" i="3"/>
  <c r="S193" i="3" s="1"/>
  <c r="S192" i="3" s="1"/>
  <c r="R194" i="3"/>
  <c r="R193" i="3" s="1"/>
  <c r="R192" i="3" s="1"/>
  <c r="Q194" i="3"/>
  <c r="T193" i="3"/>
  <c r="T192" i="3" s="1"/>
  <c r="Q193" i="3"/>
  <c r="Q192" i="3" s="1"/>
  <c r="T188" i="3"/>
  <c r="S188" i="3"/>
  <c r="S187" i="3" s="1"/>
  <c r="S186" i="3" s="1"/>
  <c r="R188" i="3"/>
  <c r="R187" i="3" s="1"/>
  <c r="R186" i="3" s="1"/>
  <c r="Q188" i="3"/>
  <c r="Q187" i="3" s="1"/>
  <c r="Q186" i="3" s="1"/>
  <c r="T187" i="3"/>
  <c r="T186" i="3" s="1"/>
  <c r="T182" i="3"/>
  <c r="S182" i="3"/>
  <c r="S181" i="3" s="1"/>
  <c r="S180" i="3" s="1"/>
  <c r="R182" i="3"/>
  <c r="R181" i="3" s="1"/>
  <c r="R180" i="3" s="1"/>
  <c r="Q182" i="3"/>
  <c r="Q181" i="3" s="1"/>
  <c r="Q180" i="3" s="1"/>
  <c r="T181" i="3"/>
  <c r="T180" i="3" s="1"/>
  <c r="U177" i="3"/>
  <c r="T177" i="3"/>
  <c r="S177" i="3"/>
  <c r="R177" i="3"/>
  <c r="U173" i="3"/>
  <c r="T173" i="3"/>
  <c r="S173" i="3"/>
  <c r="R173" i="3"/>
  <c r="U172" i="3"/>
  <c r="U171" i="3" s="1"/>
  <c r="T172" i="3"/>
  <c r="T171" i="3" s="1"/>
  <c r="U167" i="3"/>
  <c r="T167" i="3"/>
  <c r="S167" i="3"/>
  <c r="R167" i="3"/>
  <c r="R166" i="3" s="1"/>
  <c r="R165" i="3" s="1"/>
  <c r="U166" i="3"/>
  <c r="U165" i="3" s="1"/>
  <c r="T166" i="3"/>
  <c r="T165" i="3" s="1"/>
  <c r="S166" i="3"/>
  <c r="S165" i="3" s="1"/>
  <c r="U160" i="3"/>
  <c r="U159" i="3" s="1"/>
  <c r="U158" i="3" s="1"/>
  <c r="T160" i="3"/>
  <c r="T159" i="3" s="1"/>
  <c r="T158" i="3" s="1"/>
  <c r="R160" i="3"/>
  <c r="R159" i="3" s="1"/>
  <c r="R158" i="3" s="1"/>
  <c r="Q160" i="3"/>
  <c r="Q159" i="3" s="1"/>
  <c r="Q158" i="3" s="1"/>
  <c r="U154" i="3"/>
  <c r="S154" i="3"/>
  <c r="R154" i="3"/>
  <c r="Q154" i="3"/>
  <c r="U150" i="3"/>
  <c r="S150" i="3"/>
  <c r="R150" i="3"/>
  <c r="R149" i="3" s="1"/>
  <c r="R148" i="3" s="1"/>
  <c r="Q150" i="3"/>
  <c r="U143" i="3"/>
  <c r="U142" i="3" s="1"/>
  <c r="U141" i="3" s="1"/>
  <c r="T143" i="3"/>
  <c r="T142" i="3" s="1"/>
  <c r="T141" i="3" s="1"/>
  <c r="R143" i="3"/>
  <c r="R142" i="3" s="1"/>
  <c r="R141" i="3" s="1"/>
  <c r="Q143" i="3"/>
  <c r="Q142" i="3" s="1"/>
  <c r="Q141" i="3" s="1"/>
  <c r="T138" i="3"/>
  <c r="S138" i="3"/>
  <c r="R138" i="3"/>
  <c r="Q138" i="3"/>
  <c r="T135" i="3"/>
  <c r="S135" i="3"/>
  <c r="S134" i="3" s="1"/>
  <c r="S133" i="3" s="1"/>
  <c r="R135" i="3"/>
  <c r="R134" i="3" s="1"/>
  <c r="R133" i="3" s="1"/>
  <c r="Q135" i="3"/>
  <c r="T134" i="3"/>
  <c r="T133" i="3" s="1"/>
  <c r="U129" i="3"/>
  <c r="U128" i="3" s="1"/>
  <c r="U127" i="3" s="1"/>
  <c r="S129" i="3"/>
  <c r="S128" i="3" s="1"/>
  <c r="S127" i="3" s="1"/>
  <c r="R129" i="3"/>
  <c r="R128" i="3" s="1"/>
  <c r="R127" i="3" s="1"/>
  <c r="Q129" i="3"/>
  <c r="Q128" i="3" s="1"/>
  <c r="Q127" i="3" s="1"/>
  <c r="U124" i="3"/>
  <c r="U123" i="3" s="1"/>
  <c r="U122" i="3" s="1"/>
  <c r="T124" i="3"/>
  <c r="T123" i="3" s="1"/>
  <c r="T122" i="3" s="1"/>
  <c r="R124" i="3"/>
  <c r="R123" i="3" s="1"/>
  <c r="R122" i="3" s="1"/>
  <c r="Q124" i="3"/>
  <c r="Q123" i="3" s="1"/>
  <c r="Q122" i="3" s="1"/>
  <c r="U119" i="3"/>
  <c r="U118" i="3" s="1"/>
  <c r="U117" i="3" s="1"/>
  <c r="T119" i="3"/>
  <c r="T118" i="3" s="1"/>
  <c r="T117" i="3" s="1"/>
  <c r="S119" i="3"/>
  <c r="S118" i="3" s="1"/>
  <c r="S117" i="3" s="1"/>
  <c r="Q119" i="3"/>
  <c r="Q118" i="3" s="1"/>
  <c r="Q117" i="3" s="1"/>
  <c r="U113" i="3"/>
  <c r="S113" i="3"/>
  <c r="R113" i="3"/>
  <c r="Q113" i="3"/>
  <c r="U111" i="3"/>
  <c r="S111" i="3"/>
  <c r="R111" i="3"/>
  <c r="Q111" i="3"/>
  <c r="U105" i="3"/>
  <c r="T105" i="3"/>
  <c r="S105" i="3"/>
  <c r="Q105" i="3"/>
  <c r="T101" i="3"/>
  <c r="S101" i="3"/>
  <c r="R101" i="3"/>
  <c r="Q101" i="3"/>
  <c r="U95" i="3"/>
  <c r="U94" i="3" s="1"/>
  <c r="U93" i="3" s="1"/>
  <c r="T95" i="3"/>
  <c r="T94" i="3" s="1"/>
  <c r="T93" i="3" s="1"/>
  <c r="S95" i="3"/>
  <c r="S94" i="3" s="1"/>
  <c r="S93" i="3" s="1"/>
  <c r="Q95" i="3"/>
  <c r="Q94" i="3" s="1"/>
  <c r="Q93" i="3" s="1"/>
  <c r="U78" i="3"/>
  <c r="U80" i="3"/>
  <c r="R84" i="3"/>
  <c r="T91" i="3"/>
  <c r="T88" i="3"/>
  <c r="T83" i="3"/>
  <c r="T82" i="3" s="1"/>
  <c r="U82" i="3"/>
  <c r="Q82" i="3"/>
  <c r="T80" i="3"/>
  <c r="T78" i="3"/>
  <c r="Q77" i="3"/>
  <c r="U69" i="3"/>
  <c r="U68" i="3" s="1"/>
  <c r="U67" i="3" s="1"/>
  <c r="T69" i="3"/>
  <c r="T68" i="3" s="1"/>
  <c r="T67" i="3" s="1"/>
  <c r="S69" i="3"/>
  <c r="S68" i="3" s="1"/>
  <c r="S67" i="3" s="1"/>
  <c r="Q69" i="3"/>
  <c r="Q68" i="3" s="1"/>
  <c r="Q67" i="3" s="1"/>
  <c r="U63" i="3"/>
  <c r="U62" i="3" s="1"/>
  <c r="U61" i="3" s="1"/>
  <c r="T63" i="3"/>
  <c r="T62" i="3" s="1"/>
  <c r="T61" i="3" s="1"/>
  <c r="S63" i="3"/>
  <c r="S62" i="3" s="1"/>
  <c r="S61" i="3" s="1"/>
  <c r="Q63" i="3"/>
  <c r="Q62" i="3" s="1"/>
  <c r="Q61" i="3" s="1"/>
  <c r="S668" i="3" l="1"/>
  <c r="R668" i="3"/>
  <c r="T668" i="3"/>
  <c r="U668" i="3"/>
  <c r="T626" i="3"/>
  <c r="T625" i="3" s="1"/>
  <c r="T612" i="3" s="1"/>
  <c r="Q535" i="3"/>
  <c r="Q534" i="3" s="1"/>
  <c r="T637" i="3"/>
  <c r="T636" i="3" s="1"/>
  <c r="U657" i="3"/>
  <c r="U656" i="3" s="1"/>
  <c r="U655" i="3" s="1"/>
  <c r="T592" i="3"/>
  <c r="T591" i="3" s="1"/>
  <c r="T580" i="3" s="1"/>
  <c r="Q626" i="3"/>
  <c r="Q625" i="3" s="1"/>
  <c r="T647" i="3"/>
  <c r="T646" i="3" s="1"/>
  <c r="T645" i="3" s="1"/>
  <c r="S657" i="3"/>
  <c r="S656" i="3" s="1"/>
  <c r="S655" i="3" s="1"/>
  <c r="S647" i="3"/>
  <c r="S646" i="3" s="1"/>
  <c r="S645" i="3" s="1"/>
  <c r="R647" i="3"/>
  <c r="R646" i="3" s="1"/>
  <c r="R645" i="3" s="1"/>
  <c r="S637" i="3"/>
  <c r="S636" i="3" s="1"/>
  <c r="Q558" i="3"/>
  <c r="Q557" i="3" s="1"/>
  <c r="R592" i="3"/>
  <c r="R591" i="3" s="1"/>
  <c r="U612" i="3"/>
  <c r="R612" i="3"/>
  <c r="U604" i="3"/>
  <c r="U603" i="3" s="1"/>
  <c r="U602" i="3" s="1"/>
  <c r="S604" i="3"/>
  <c r="S603" i="3" s="1"/>
  <c r="S602" i="3" s="1"/>
  <c r="U580" i="3"/>
  <c r="R580" i="3"/>
  <c r="S580" i="3"/>
  <c r="Q198" i="3"/>
  <c r="R382" i="3"/>
  <c r="U535" i="3"/>
  <c r="U534" i="3" s="1"/>
  <c r="S544" i="3"/>
  <c r="S543" i="3" s="1"/>
  <c r="Q544" i="3"/>
  <c r="Q543" i="3" s="1"/>
  <c r="U544" i="3"/>
  <c r="U543" i="3" s="1"/>
  <c r="S535" i="3"/>
  <c r="S534" i="3" s="1"/>
  <c r="T528" i="3"/>
  <c r="T527" i="3" s="1"/>
  <c r="Q520" i="3"/>
  <c r="Q519" i="3" s="1"/>
  <c r="U520" i="3"/>
  <c r="U519" i="3" s="1"/>
  <c r="Q502" i="3"/>
  <c r="U502" i="3"/>
  <c r="U445" i="3"/>
  <c r="U444" i="3" s="1"/>
  <c r="U443" i="3" s="1"/>
  <c r="R504" i="3"/>
  <c r="R503" i="3" s="1"/>
  <c r="R431" i="3"/>
  <c r="S475" i="3"/>
  <c r="S474" i="3" s="1"/>
  <c r="S473" i="3" s="1"/>
  <c r="R475" i="3"/>
  <c r="R474" i="3" s="1"/>
  <c r="R473" i="3" s="1"/>
  <c r="S445" i="3"/>
  <c r="S444" i="3" s="1"/>
  <c r="S443" i="3" s="1"/>
  <c r="T445" i="3"/>
  <c r="T444" i="3" s="1"/>
  <c r="T443" i="3" s="1"/>
  <c r="T431" i="3"/>
  <c r="U431" i="3"/>
  <c r="S431" i="3"/>
  <c r="S364" i="3"/>
  <c r="S363" i="3" s="1"/>
  <c r="R373" i="3"/>
  <c r="R372" i="3" s="1"/>
  <c r="U364" i="3"/>
  <c r="U363" i="3" s="1"/>
  <c r="T330" i="3"/>
  <c r="T329" i="3" s="1"/>
  <c r="T364" i="3"/>
  <c r="T363" i="3" s="1"/>
  <c r="T373" i="3"/>
  <c r="T372" i="3" s="1"/>
  <c r="U382" i="3"/>
  <c r="T316" i="3"/>
  <c r="T382" i="3"/>
  <c r="T381" i="3" s="1"/>
  <c r="S382" i="3"/>
  <c r="T100" i="3"/>
  <c r="T99" i="3" s="1"/>
  <c r="S343" i="3"/>
  <c r="S342" i="3" s="1"/>
  <c r="S352" i="3"/>
  <c r="S351" i="3" s="1"/>
  <c r="U352" i="3"/>
  <c r="U351" i="3" s="1"/>
  <c r="R316" i="3"/>
  <c r="S317" i="3"/>
  <c r="S316" i="3" s="1"/>
  <c r="U317" i="3"/>
  <c r="U316" i="3" s="1"/>
  <c r="S295" i="3"/>
  <c r="S294" i="3" s="1"/>
  <c r="U280" i="3"/>
  <c r="R280" i="3"/>
  <c r="R257" i="3" s="1"/>
  <c r="T308" i="3"/>
  <c r="T307" i="3" s="1"/>
  <c r="T271" i="3"/>
  <c r="T270" i="3" s="1"/>
  <c r="T257" i="3" s="1"/>
  <c r="S308" i="3"/>
  <c r="S307" i="3" s="1"/>
  <c r="R308" i="3"/>
  <c r="R307" i="3" s="1"/>
  <c r="U295" i="3"/>
  <c r="U294" i="3" s="1"/>
  <c r="S280" i="3"/>
  <c r="Q231" i="3"/>
  <c r="Q230" i="3" s="1"/>
  <c r="Q248" i="3"/>
  <c r="Q247" i="3" s="1"/>
  <c r="U248" i="3"/>
  <c r="U247" i="3" s="1"/>
  <c r="U259" i="3"/>
  <c r="U258" i="3" s="1"/>
  <c r="S271" i="3"/>
  <c r="S270" i="3" s="1"/>
  <c r="U271" i="3"/>
  <c r="U270" i="3" s="1"/>
  <c r="S259" i="3"/>
  <c r="S258" i="3" s="1"/>
  <c r="R248" i="3"/>
  <c r="R247" i="3" s="1"/>
  <c r="S198" i="3"/>
  <c r="R231" i="3"/>
  <c r="R230" i="3" s="1"/>
  <c r="T231" i="3"/>
  <c r="T230" i="3" s="1"/>
  <c r="T229" i="3" s="1"/>
  <c r="R110" i="3"/>
  <c r="R109" i="3" s="1"/>
  <c r="R172" i="3"/>
  <c r="R171" i="3" s="1"/>
  <c r="T198" i="3"/>
  <c r="T157" i="3" s="1"/>
  <c r="S149" i="3"/>
  <c r="S148" i="3" s="1"/>
  <c r="S172" i="3"/>
  <c r="S171" i="3" s="1"/>
  <c r="Q134" i="3"/>
  <c r="Q133" i="3" s="1"/>
  <c r="U149" i="3"/>
  <c r="U148" i="3" s="1"/>
  <c r="Q149" i="3"/>
  <c r="Q148" i="3" s="1"/>
  <c r="R132" i="3"/>
  <c r="Q116" i="3"/>
  <c r="U116" i="3"/>
  <c r="S110" i="3"/>
  <c r="S109" i="3" s="1"/>
  <c r="Q110" i="3"/>
  <c r="Q109" i="3" s="1"/>
  <c r="U110" i="3"/>
  <c r="U109" i="3" s="1"/>
  <c r="S100" i="3"/>
  <c r="S99" i="3" s="1"/>
  <c r="Q100" i="3"/>
  <c r="Q99" i="3" s="1"/>
  <c r="U84" i="3"/>
  <c r="U77" i="3"/>
  <c r="T81" i="3"/>
  <c r="T77" i="3" s="1"/>
  <c r="Q84" i="3"/>
  <c r="T85" i="3"/>
  <c r="T89" i="3"/>
  <c r="T86" i="3"/>
  <c r="R381" i="3" l="1"/>
  <c r="Q518" i="3"/>
  <c r="R579" i="3"/>
  <c r="T579" i="3"/>
  <c r="U579" i="3"/>
  <c r="S381" i="3"/>
  <c r="Q472" i="3"/>
  <c r="T293" i="3"/>
  <c r="T256" i="3" s="1"/>
  <c r="Q132" i="3"/>
  <c r="U381" i="3"/>
  <c r="U257" i="3"/>
  <c r="S293" i="3"/>
  <c r="R293" i="3"/>
  <c r="R256" i="3" s="1"/>
  <c r="U293" i="3"/>
  <c r="Q229" i="3"/>
  <c r="R229" i="3"/>
  <c r="S257" i="3"/>
  <c r="T84" i="3"/>
  <c r="U256" i="3" l="1"/>
  <c r="S256" i="3"/>
  <c r="U57" i="3" l="1"/>
  <c r="U56" i="3" s="1"/>
  <c r="U55" i="3" s="1"/>
  <c r="T57" i="3"/>
  <c r="T56" i="3" s="1"/>
  <c r="T55" i="3" s="1"/>
  <c r="S57" i="3"/>
  <c r="S56" i="3" s="1"/>
  <c r="S55" i="3" s="1"/>
  <c r="Q57" i="3"/>
  <c r="Q56" i="3" s="1"/>
  <c r="Q55" i="3" s="1"/>
  <c r="U49" i="3"/>
  <c r="T49" i="3"/>
  <c r="R49" i="3"/>
  <c r="Q49" i="3"/>
  <c r="U46" i="3"/>
  <c r="T46" i="3"/>
  <c r="R46" i="3"/>
  <c r="Q46" i="3"/>
  <c r="U43" i="3"/>
  <c r="T43" i="3"/>
  <c r="R43" i="3"/>
  <c r="R42" i="3" s="1"/>
  <c r="Q43" i="3"/>
  <c r="U36" i="3"/>
  <c r="T36" i="3"/>
  <c r="S36" i="3"/>
  <c r="U33" i="3"/>
  <c r="S33" i="3"/>
  <c r="R33" i="3"/>
  <c r="Q33" i="3"/>
  <c r="V30" i="3"/>
  <c r="V29" i="3" s="1"/>
  <c r="U30" i="3"/>
  <c r="T30" i="3"/>
  <c r="S30" i="3"/>
  <c r="R30" i="3"/>
  <c r="V24" i="3"/>
  <c r="T24" i="3"/>
  <c r="S24" i="3"/>
  <c r="R24" i="3"/>
  <c r="Q24" i="3"/>
  <c r="V20" i="3"/>
  <c r="T20" i="3"/>
  <c r="S20" i="3"/>
  <c r="R20" i="3"/>
  <c r="Q20" i="3"/>
  <c r="W686" i="3"/>
  <c r="K685" i="3"/>
  <c r="N685" i="3" s="1"/>
  <c r="Q685" i="3" s="1"/>
  <c r="Q684" i="3" s="1"/>
  <c r="Q683" i="3" s="1"/>
  <c r="Q682" i="3" s="1"/>
  <c r="Q681" i="3" s="1"/>
  <c r="J684" i="3"/>
  <c r="J683" i="3" s="1"/>
  <c r="J682" i="3" s="1"/>
  <c r="J681" i="3" s="1"/>
  <c r="I684" i="3"/>
  <c r="I683" i="3" s="1"/>
  <c r="I682" i="3" s="1"/>
  <c r="I681" i="3" s="1"/>
  <c r="K679" i="3"/>
  <c r="N679" i="3" s="1"/>
  <c r="J678" i="3"/>
  <c r="J677" i="3" s="1"/>
  <c r="J676" i="3" s="1"/>
  <c r="J675" i="3" s="1"/>
  <c r="I678" i="3"/>
  <c r="I677" i="3" s="1"/>
  <c r="I676" i="3" s="1"/>
  <c r="I675" i="3" s="1"/>
  <c r="K673" i="3"/>
  <c r="N673" i="3" s="1"/>
  <c r="Q673" i="3" s="1"/>
  <c r="Q672" i="3" s="1"/>
  <c r="Q671" i="3" s="1"/>
  <c r="Q670" i="3" s="1"/>
  <c r="Q669" i="3" s="1"/>
  <c r="Q668" i="3" s="1"/>
  <c r="J672" i="3"/>
  <c r="J671" i="3" s="1"/>
  <c r="J670" i="3" s="1"/>
  <c r="J669" i="3" s="1"/>
  <c r="I672" i="3"/>
  <c r="I671" i="3" s="1"/>
  <c r="I670" i="3" s="1"/>
  <c r="I669" i="3" s="1"/>
  <c r="K666" i="3"/>
  <c r="N666" i="3" s="1"/>
  <c r="K665" i="3"/>
  <c r="J664" i="3"/>
  <c r="I664" i="3"/>
  <c r="K663" i="3"/>
  <c r="N663" i="3" s="1"/>
  <c r="K662" i="3"/>
  <c r="N662" i="3" s="1"/>
  <c r="Q662" i="3" s="1"/>
  <c r="J661" i="3"/>
  <c r="I661" i="3"/>
  <c r="K660" i="3"/>
  <c r="N660" i="3" s="1"/>
  <c r="K659" i="3"/>
  <c r="N659" i="3" s="1"/>
  <c r="Q659" i="3" s="1"/>
  <c r="J658" i="3"/>
  <c r="J657" i="3" s="1"/>
  <c r="J656" i="3" s="1"/>
  <c r="J655" i="3" s="1"/>
  <c r="I658" i="3"/>
  <c r="I657" i="3" s="1"/>
  <c r="I656" i="3" s="1"/>
  <c r="I655" i="3" s="1"/>
  <c r="K653" i="3"/>
  <c r="N653" i="3" s="1"/>
  <c r="K652" i="3"/>
  <c r="J651" i="3"/>
  <c r="I651" i="3"/>
  <c r="K650" i="3"/>
  <c r="N650" i="3" s="1"/>
  <c r="K649" i="3"/>
  <c r="N649" i="3" s="1"/>
  <c r="Q649" i="3" s="1"/>
  <c r="J648" i="3"/>
  <c r="J647" i="3" s="1"/>
  <c r="J646" i="3" s="1"/>
  <c r="J645" i="3" s="1"/>
  <c r="I648" i="3"/>
  <c r="I647" i="3" s="1"/>
  <c r="I646" i="3" s="1"/>
  <c r="I645" i="3" s="1"/>
  <c r="K643" i="3"/>
  <c r="N643" i="3" s="1"/>
  <c r="K642" i="3"/>
  <c r="N642" i="3" s="1"/>
  <c r="Q642" i="3" s="1"/>
  <c r="J641" i="3"/>
  <c r="I641" i="3"/>
  <c r="K640" i="3"/>
  <c r="N640" i="3" s="1"/>
  <c r="K639" i="3"/>
  <c r="J639" i="3"/>
  <c r="J638" i="3" s="1"/>
  <c r="J637" i="3" s="1"/>
  <c r="J636" i="3" s="1"/>
  <c r="I638" i="3"/>
  <c r="I637" i="3" s="1"/>
  <c r="I636" i="3" s="1"/>
  <c r="K634" i="3"/>
  <c r="N634" i="3" s="1"/>
  <c r="K633" i="3"/>
  <c r="N633" i="3" s="1"/>
  <c r="S633" i="3" s="1"/>
  <c r="J632" i="3"/>
  <c r="I632" i="3"/>
  <c r="K630" i="3"/>
  <c r="N630" i="3" s="1"/>
  <c r="K629" i="3"/>
  <c r="N629" i="3" s="1"/>
  <c r="K628" i="3"/>
  <c r="N628" i="3" s="1"/>
  <c r="S628" i="3" s="1"/>
  <c r="J627" i="3"/>
  <c r="I627" i="3"/>
  <c r="K623" i="3"/>
  <c r="N623" i="3" s="1"/>
  <c r="O623" i="3" s="1"/>
  <c r="K622" i="3"/>
  <c r="N622" i="3" s="1"/>
  <c r="J621" i="3"/>
  <c r="I621" i="3"/>
  <c r="K620" i="3"/>
  <c r="N620" i="3" s="1"/>
  <c r="O620" i="3" s="1"/>
  <c r="K619" i="3"/>
  <c r="N619" i="3" s="1"/>
  <c r="J618" i="3"/>
  <c r="I618" i="3"/>
  <c r="K617" i="3"/>
  <c r="N617" i="3" s="1"/>
  <c r="K616" i="3"/>
  <c r="J615" i="3"/>
  <c r="J614" i="3" s="1"/>
  <c r="J613" i="3" s="1"/>
  <c r="I615" i="3"/>
  <c r="K610" i="3"/>
  <c r="N610" i="3" s="1"/>
  <c r="K609" i="3"/>
  <c r="N609" i="3" s="1"/>
  <c r="Q609" i="3" s="1"/>
  <c r="J608" i="3"/>
  <c r="I608" i="3"/>
  <c r="K607" i="3"/>
  <c r="N607" i="3" s="1"/>
  <c r="K606" i="3"/>
  <c r="J605" i="3"/>
  <c r="J604" i="3" s="1"/>
  <c r="J603" i="3" s="1"/>
  <c r="J602" i="3" s="1"/>
  <c r="I605" i="3"/>
  <c r="I604" i="3" s="1"/>
  <c r="I603" i="3" s="1"/>
  <c r="I602" i="3" s="1"/>
  <c r="K600" i="3"/>
  <c r="N600" i="3" s="1"/>
  <c r="K599" i="3"/>
  <c r="N599" i="3" s="1"/>
  <c r="Q599" i="3" s="1"/>
  <c r="J598" i="3"/>
  <c r="I598" i="3"/>
  <c r="K597" i="3"/>
  <c r="N597" i="3" s="1"/>
  <c r="K596" i="3"/>
  <c r="N596" i="3" s="1"/>
  <c r="K595" i="3"/>
  <c r="N595" i="3" s="1"/>
  <c r="K594" i="3"/>
  <c r="J593" i="3"/>
  <c r="I593" i="3"/>
  <c r="K589" i="3"/>
  <c r="N589" i="3" s="1"/>
  <c r="N588" i="3" s="1"/>
  <c r="J588" i="3"/>
  <c r="I588" i="3"/>
  <c r="K587" i="3"/>
  <c r="N587" i="3" s="1"/>
  <c r="N586" i="3" s="1"/>
  <c r="J586" i="3"/>
  <c r="I586" i="3"/>
  <c r="K585" i="3"/>
  <c r="N585" i="3" s="1"/>
  <c r="O585" i="3" s="1"/>
  <c r="K584" i="3"/>
  <c r="J583" i="3"/>
  <c r="I583" i="3"/>
  <c r="K577" i="3"/>
  <c r="N577" i="3" s="1"/>
  <c r="K576" i="3"/>
  <c r="N576" i="3" s="1"/>
  <c r="K575" i="3"/>
  <c r="J574" i="3"/>
  <c r="J573" i="3" s="1"/>
  <c r="J572" i="3" s="1"/>
  <c r="I574" i="3"/>
  <c r="I573" i="3" s="1"/>
  <c r="I572" i="3" s="1"/>
  <c r="K570" i="3"/>
  <c r="N570" i="3" s="1"/>
  <c r="K569" i="3"/>
  <c r="N569" i="3" s="1"/>
  <c r="K568" i="3"/>
  <c r="J567" i="3"/>
  <c r="J566" i="3" s="1"/>
  <c r="J565" i="3" s="1"/>
  <c r="I567" i="3"/>
  <c r="I566" i="3" s="1"/>
  <c r="I565" i="3" s="1"/>
  <c r="K563" i="3"/>
  <c r="N563" i="3" s="1"/>
  <c r="J562" i="3"/>
  <c r="I562" i="3"/>
  <c r="K561" i="3"/>
  <c r="N561" i="3" s="1"/>
  <c r="K560" i="3"/>
  <c r="N560" i="3" s="1"/>
  <c r="S560" i="3" s="1"/>
  <c r="J559" i="3"/>
  <c r="J558" i="3" s="1"/>
  <c r="J557" i="3" s="1"/>
  <c r="I559" i="3"/>
  <c r="I558" i="3" s="1"/>
  <c r="I557" i="3" s="1"/>
  <c r="K555" i="3"/>
  <c r="N555" i="3" s="1"/>
  <c r="K554" i="3"/>
  <c r="J553" i="3"/>
  <c r="J552" i="3" s="1"/>
  <c r="J551" i="3" s="1"/>
  <c r="I553" i="3"/>
  <c r="I552" i="3" s="1"/>
  <c r="I551" i="3" s="1"/>
  <c r="K549" i="3"/>
  <c r="K548" i="3" s="1"/>
  <c r="J548" i="3"/>
  <c r="I548" i="3"/>
  <c r="K547" i="3"/>
  <c r="N547" i="3" s="1"/>
  <c r="K546" i="3"/>
  <c r="N546" i="3" s="1"/>
  <c r="T546" i="3" s="1"/>
  <c r="J545" i="3"/>
  <c r="J544" i="3" s="1"/>
  <c r="J543" i="3" s="1"/>
  <c r="I545" i="3"/>
  <c r="I544" i="3" s="1"/>
  <c r="I543" i="3" s="1"/>
  <c r="K541" i="3"/>
  <c r="N541" i="3" s="1"/>
  <c r="R541" i="3" s="1"/>
  <c r="R540" i="3" s="1"/>
  <c r="J540" i="3"/>
  <c r="I540" i="3"/>
  <c r="K539" i="3"/>
  <c r="K538" i="3"/>
  <c r="N538" i="3" s="1"/>
  <c r="K537" i="3"/>
  <c r="N537" i="3" s="1"/>
  <c r="J536" i="3"/>
  <c r="I536" i="3"/>
  <c r="K532" i="3"/>
  <c r="N532" i="3" s="1"/>
  <c r="U532" i="3" s="1"/>
  <c r="U531" i="3" s="1"/>
  <c r="J531" i="3"/>
  <c r="I531" i="3"/>
  <c r="K530" i="3"/>
  <c r="N530" i="3" s="1"/>
  <c r="U530" i="3" s="1"/>
  <c r="U529" i="3" s="1"/>
  <c r="J529" i="3"/>
  <c r="I529" i="3"/>
  <c r="K525" i="3"/>
  <c r="K524" i="3" s="1"/>
  <c r="J524" i="3"/>
  <c r="I524" i="3"/>
  <c r="K523" i="3"/>
  <c r="N523" i="3" s="1"/>
  <c r="K522" i="3"/>
  <c r="J521" i="3"/>
  <c r="J520" i="3" s="1"/>
  <c r="J519" i="3" s="1"/>
  <c r="I521" i="3"/>
  <c r="I520" i="3" s="1"/>
  <c r="I519" i="3" s="1"/>
  <c r="K516" i="3"/>
  <c r="K515" i="3"/>
  <c r="N515" i="3" s="1"/>
  <c r="K514" i="3"/>
  <c r="N514" i="3" s="1"/>
  <c r="J513" i="3"/>
  <c r="J512" i="3" s="1"/>
  <c r="J511" i="3" s="1"/>
  <c r="I513" i="3"/>
  <c r="I512" i="3" s="1"/>
  <c r="I511" i="3" s="1"/>
  <c r="K509" i="3"/>
  <c r="N509" i="3" s="1"/>
  <c r="T509" i="3" s="1"/>
  <c r="T508" i="3" s="1"/>
  <c r="J508" i="3"/>
  <c r="I508" i="3"/>
  <c r="K507" i="3"/>
  <c r="K506" i="3"/>
  <c r="N506" i="3" s="1"/>
  <c r="J505" i="3"/>
  <c r="J504" i="3" s="1"/>
  <c r="J503" i="3" s="1"/>
  <c r="I505" i="3"/>
  <c r="I504" i="3" s="1"/>
  <c r="I503" i="3" s="1"/>
  <c r="K500" i="3"/>
  <c r="K499" i="3" s="1"/>
  <c r="J499" i="3"/>
  <c r="I499" i="3"/>
  <c r="K498" i="3"/>
  <c r="K497" i="3" s="1"/>
  <c r="J497" i="3"/>
  <c r="I497" i="3"/>
  <c r="K496" i="3"/>
  <c r="K495" i="3" s="1"/>
  <c r="J495" i="3"/>
  <c r="I495" i="3"/>
  <c r="K491" i="3"/>
  <c r="K490" i="3"/>
  <c r="N490" i="3" s="1"/>
  <c r="O490" i="3" s="1"/>
  <c r="J489" i="3"/>
  <c r="I489" i="3"/>
  <c r="K488" i="3"/>
  <c r="K487" i="3" s="1"/>
  <c r="J487" i="3"/>
  <c r="I487" i="3"/>
  <c r="K486" i="3"/>
  <c r="N486" i="3" s="1"/>
  <c r="O486" i="3" s="1"/>
  <c r="K485" i="3"/>
  <c r="J484" i="3"/>
  <c r="I484" i="3"/>
  <c r="K479" i="3"/>
  <c r="K478" i="3" s="1"/>
  <c r="J478" i="3"/>
  <c r="I478" i="3"/>
  <c r="K477" i="3"/>
  <c r="N477" i="3" s="1"/>
  <c r="T477" i="3" s="1"/>
  <c r="T476" i="3" s="1"/>
  <c r="J476" i="3"/>
  <c r="I476" i="3"/>
  <c r="K470" i="3"/>
  <c r="K469" i="3" s="1"/>
  <c r="K468" i="3" s="1"/>
  <c r="K467" i="3" s="1"/>
  <c r="K466" i="3" s="1"/>
  <c r="J469" i="3"/>
  <c r="J468" i="3" s="1"/>
  <c r="J467" i="3" s="1"/>
  <c r="J466" i="3" s="1"/>
  <c r="I469" i="3"/>
  <c r="I468" i="3" s="1"/>
  <c r="I467" i="3" s="1"/>
  <c r="I466" i="3" s="1"/>
  <c r="K464" i="3"/>
  <c r="K463" i="3" s="1"/>
  <c r="J463" i="3"/>
  <c r="I463" i="3"/>
  <c r="K462" i="3"/>
  <c r="K461" i="3" s="1"/>
  <c r="J461" i="3"/>
  <c r="I461" i="3"/>
  <c r="K460" i="3"/>
  <c r="N460" i="3" s="1"/>
  <c r="O460" i="3" s="1"/>
  <c r="K459" i="3"/>
  <c r="N459" i="3" s="1"/>
  <c r="O459" i="3" s="1"/>
  <c r="K458" i="3"/>
  <c r="N458" i="3" s="1"/>
  <c r="J457" i="3"/>
  <c r="I457" i="3"/>
  <c r="K453" i="3"/>
  <c r="J453" i="3"/>
  <c r="J452" i="3" s="1"/>
  <c r="I452" i="3"/>
  <c r="K451" i="3"/>
  <c r="N451" i="3" s="1"/>
  <c r="J450" i="3"/>
  <c r="I450" i="3"/>
  <c r="K449" i="3"/>
  <c r="N449" i="3" s="1"/>
  <c r="K448" i="3"/>
  <c r="N448" i="3" s="1"/>
  <c r="K447" i="3"/>
  <c r="N447" i="3" s="1"/>
  <c r="Q447" i="3" s="1"/>
  <c r="J446" i="3"/>
  <c r="I446" i="3"/>
  <c r="K441" i="3"/>
  <c r="J441" i="3"/>
  <c r="K440" i="3"/>
  <c r="N440" i="3" s="1"/>
  <c r="Q440" i="3" s="1"/>
  <c r="K439" i="3"/>
  <c r="N439" i="3" s="1"/>
  <c r="I438" i="3"/>
  <c r="I437" i="3" s="1"/>
  <c r="K436" i="3"/>
  <c r="N436" i="3" s="1"/>
  <c r="K435" i="3"/>
  <c r="N435" i="3" s="1"/>
  <c r="K434" i="3"/>
  <c r="J433" i="3"/>
  <c r="J432" i="3" s="1"/>
  <c r="I433" i="3"/>
  <c r="I432" i="3" s="1"/>
  <c r="K429" i="3"/>
  <c r="N429" i="3" s="1"/>
  <c r="K428" i="3"/>
  <c r="J427" i="3"/>
  <c r="J426" i="3" s="1"/>
  <c r="I427" i="3"/>
  <c r="I426" i="3" s="1"/>
  <c r="K425" i="3"/>
  <c r="N425" i="3" s="1"/>
  <c r="K424" i="3"/>
  <c r="J423" i="3"/>
  <c r="J422" i="3" s="1"/>
  <c r="J421" i="3" s="1"/>
  <c r="I423" i="3"/>
  <c r="I422" i="3" s="1"/>
  <c r="K419" i="3"/>
  <c r="N419" i="3" s="1"/>
  <c r="O419" i="3" s="1"/>
  <c r="K418" i="3"/>
  <c r="N418" i="3" s="1"/>
  <c r="J417" i="3"/>
  <c r="J416" i="3" s="1"/>
  <c r="I417" i="3"/>
  <c r="I416" i="3" s="1"/>
  <c r="K415" i="3"/>
  <c r="N415" i="3" s="1"/>
  <c r="O415" i="3" s="1"/>
  <c r="K414" i="3"/>
  <c r="N414" i="3" s="1"/>
  <c r="O414" i="3" s="1"/>
  <c r="K413" i="3"/>
  <c r="N413" i="3" s="1"/>
  <c r="O413" i="3" s="1"/>
  <c r="K412" i="3"/>
  <c r="J411" i="3"/>
  <c r="J410" i="3" s="1"/>
  <c r="I411" i="3"/>
  <c r="I410" i="3" s="1"/>
  <c r="K407" i="3"/>
  <c r="N407" i="3" s="1"/>
  <c r="O407" i="3" s="1"/>
  <c r="K406" i="3"/>
  <c r="N406" i="3" s="1"/>
  <c r="O406" i="3" s="1"/>
  <c r="K405" i="3"/>
  <c r="N405" i="3" s="1"/>
  <c r="J404" i="3"/>
  <c r="J403" i="3" s="1"/>
  <c r="I404" i="3"/>
  <c r="I403" i="3" s="1"/>
  <c r="K402" i="3"/>
  <c r="N402" i="3" s="1"/>
  <c r="O402" i="3" s="1"/>
  <c r="K401" i="3"/>
  <c r="N401" i="3" s="1"/>
  <c r="O401" i="3" s="1"/>
  <c r="K400" i="3"/>
  <c r="K399" i="3"/>
  <c r="N399" i="3" s="1"/>
  <c r="J398" i="3"/>
  <c r="J397" i="3" s="1"/>
  <c r="I398" i="3"/>
  <c r="I397" i="3" s="1"/>
  <c r="K394" i="3"/>
  <c r="N394" i="3" s="1"/>
  <c r="O394" i="3" s="1"/>
  <c r="K393" i="3"/>
  <c r="N393" i="3" s="1"/>
  <c r="K392" i="3"/>
  <c r="N392" i="3" s="1"/>
  <c r="Q392" i="3" s="1"/>
  <c r="K391" i="3"/>
  <c r="N391" i="3" s="1"/>
  <c r="J390" i="3"/>
  <c r="J389" i="3" s="1"/>
  <c r="I390" i="3"/>
  <c r="I389" i="3" s="1"/>
  <c r="K388" i="3"/>
  <c r="N388" i="3" s="1"/>
  <c r="K387" i="3"/>
  <c r="N387" i="3" s="1"/>
  <c r="K386" i="3"/>
  <c r="N386" i="3" s="1"/>
  <c r="K385" i="3"/>
  <c r="N385" i="3" s="1"/>
  <c r="Q385" i="3" s="1"/>
  <c r="J384" i="3"/>
  <c r="J383" i="3" s="1"/>
  <c r="I384" i="3"/>
  <c r="I383" i="3" s="1"/>
  <c r="K379" i="3"/>
  <c r="N379" i="3" s="1"/>
  <c r="Q379" i="3" s="1"/>
  <c r="K378" i="3"/>
  <c r="N378" i="3" s="1"/>
  <c r="J377" i="3"/>
  <c r="I377" i="3"/>
  <c r="K376" i="3"/>
  <c r="N376" i="3" s="1"/>
  <c r="K375" i="3"/>
  <c r="N375" i="3" s="1"/>
  <c r="Q375" i="3" s="1"/>
  <c r="J374" i="3"/>
  <c r="I374" i="3"/>
  <c r="I373" i="3" s="1"/>
  <c r="I372" i="3" s="1"/>
  <c r="K370" i="3"/>
  <c r="K369" i="3" s="1"/>
  <c r="J369" i="3"/>
  <c r="I369" i="3"/>
  <c r="K368" i="3"/>
  <c r="N368" i="3" s="1"/>
  <c r="K367" i="3"/>
  <c r="N367" i="3" s="1"/>
  <c r="K366" i="3"/>
  <c r="N366" i="3" s="1"/>
  <c r="Q366" i="3" s="1"/>
  <c r="J365" i="3"/>
  <c r="I365" i="3"/>
  <c r="K361" i="3"/>
  <c r="K360" i="3" s="1"/>
  <c r="K359" i="3" s="1"/>
  <c r="K358" i="3" s="1"/>
  <c r="J360" i="3"/>
  <c r="J359" i="3" s="1"/>
  <c r="J358" i="3" s="1"/>
  <c r="I360" i="3"/>
  <c r="I359" i="3" s="1"/>
  <c r="I358" i="3" s="1"/>
  <c r="K356" i="3"/>
  <c r="N356" i="3" s="1"/>
  <c r="Q356" i="3" s="1"/>
  <c r="Q355" i="3" s="1"/>
  <c r="J355" i="3"/>
  <c r="I355" i="3"/>
  <c r="K354" i="3"/>
  <c r="N354" i="3" s="1"/>
  <c r="Q354" i="3" s="1"/>
  <c r="Q353" i="3" s="1"/>
  <c r="J353" i="3"/>
  <c r="I353" i="3"/>
  <c r="K349" i="3"/>
  <c r="N349" i="3" s="1"/>
  <c r="Q349" i="3" s="1"/>
  <c r="Q348" i="3" s="1"/>
  <c r="J348" i="3"/>
  <c r="I348" i="3"/>
  <c r="K347" i="3"/>
  <c r="N347" i="3" s="1"/>
  <c r="K346" i="3"/>
  <c r="N346" i="3" s="1"/>
  <c r="K345" i="3"/>
  <c r="N345" i="3" s="1"/>
  <c r="Q345" i="3" s="1"/>
  <c r="J344" i="3"/>
  <c r="I344" i="3"/>
  <c r="K340" i="3"/>
  <c r="N340" i="3" s="1"/>
  <c r="Q340" i="3" s="1"/>
  <c r="Q339" i="3" s="1"/>
  <c r="Q338" i="3" s="1"/>
  <c r="Q337" i="3" s="1"/>
  <c r="J339" i="3"/>
  <c r="J338" i="3" s="1"/>
  <c r="J337" i="3" s="1"/>
  <c r="I339" i="3"/>
  <c r="I338" i="3" s="1"/>
  <c r="I337" i="3" s="1"/>
  <c r="K335" i="3"/>
  <c r="N335" i="3" s="1"/>
  <c r="K334" i="3"/>
  <c r="N334" i="3" s="1"/>
  <c r="Q334" i="3" s="1"/>
  <c r="J333" i="3"/>
  <c r="I333" i="3"/>
  <c r="K332" i="3"/>
  <c r="N332" i="3" s="1"/>
  <c r="Q332" i="3" s="1"/>
  <c r="Q331" i="3" s="1"/>
  <c r="J331" i="3"/>
  <c r="I331" i="3"/>
  <c r="K327" i="3"/>
  <c r="N327" i="3" s="1"/>
  <c r="J326" i="3"/>
  <c r="J325" i="3" s="1"/>
  <c r="I326" i="3"/>
  <c r="I325" i="3" s="1"/>
  <c r="K324" i="3"/>
  <c r="N324" i="3" s="1"/>
  <c r="K323" i="3"/>
  <c r="N323" i="3" s="1"/>
  <c r="J322" i="3"/>
  <c r="I322" i="3"/>
  <c r="K321" i="3"/>
  <c r="J321" i="3"/>
  <c r="J318" i="3" s="1"/>
  <c r="K320" i="3"/>
  <c r="N320" i="3" s="1"/>
  <c r="K319" i="3"/>
  <c r="N319" i="3" s="1"/>
  <c r="Q319" i="3" s="1"/>
  <c r="I318" i="3"/>
  <c r="K314" i="3"/>
  <c r="N314" i="3" s="1"/>
  <c r="K313" i="3"/>
  <c r="J312" i="3"/>
  <c r="I312" i="3"/>
  <c r="K311" i="3"/>
  <c r="N311" i="3" s="1"/>
  <c r="K310" i="3"/>
  <c r="N310" i="3" s="1"/>
  <c r="Q310" i="3" s="1"/>
  <c r="J309" i="3"/>
  <c r="J308" i="3" s="1"/>
  <c r="J307" i="3" s="1"/>
  <c r="I309" i="3"/>
  <c r="I308" i="3" s="1"/>
  <c r="I307" i="3" s="1"/>
  <c r="K305" i="3"/>
  <c r="N305" i="3" s="1"/>
  <c r="J304" i="3"/>
  <c r="I304" i="3"/>
  <c r="K303" i="3"/>
  <c r="N303" i="3" s="1"/>
  <c r="K302" i="3"/>
  <c r="N302" i="3" s="1"/>
  <c r="K301" i="3"/>
  <c r="N301" i="3" s="1"/>
  <c r="Q301" i="3" s="1"/>
  <c r="J300" i="3"/>
  <c r="I300" i="3"/>
  <c r="K299" i="3"/>
  <c r="N299" i="3" s="1"/>
  <c r="K298" i="3"/>
  <c r="N298" i="3" s="1"/>
  <c r="K297" i="3"/>
  <c r="N297" i="3" s="1"/>
  <c r="Q297" i="3" s="1"/>
  <c r="J296" i="3"/>
  <c r="I296" i="3"/>
  <c r="K291" i="3"/>
  <c r="J291" i="3"/>
  <c r="J288" i="3" s="1"/>
  <c r="J287" i="3" s="1"/>
  <c r="K290" i="3"/>
  <c r="N290" i="3" s="1"/>
  <c r="K289" i="3"/>
  <c r="N289" i="3" s="1"/>
  <c r="Q289" i="3" s="1"/>
  <c r="I288" i="3"/>
  <c r="I287" i="3" s="1"/>
  <c r="K286" i="3"/>
  <c r="N286" i="3" s="1"/>
  <c r="K285" i="3"/>
  <c r="N285" i="3" s="1"/>
  <c r="K284" i="3"/>
  <c r="N284" i="3" s="1"/>
  <c r="K283" i="3"/>
  <c r="J282" i="3"/>
  <c r="J281" i="3" s="1"/>
  <c r="I282" i="3"/>
  <c r="I281" i="3" s="1"/>
  <c r="K278" i="3"/>
  <c r="N278" i="3" s="1"/>
  <c r="Q278" i="3" s="1"/>
  <c r="Q277" i="3" s="1"/>
  <c r="J277" i="3"/>
  <c r="I277" i="3"/>
  <c r="K276" i="3"/>
  <c r="N276" i="3" s="1"/>
  <c r="Q276" i="3" s="1"/>
  <c r="Q275" i="3" s="1"/>
  <c r="J275" i="3"/>
  <c r="I275" i="3"/>
  <c r="K274" i="3"/>
  <c r="N274" i="3" s="1"/>
  <c r="K273" i="3"/>
  <c r="N273" i="3" s="1"/>
  <c r="Q273" i="3" s="1"/>
  <c r="J272" i="3"/>
  <c r="I272" i="3"/>
  <c r="K268" i="3"/>
  <c r="N268" i="3" s="1"/>
  <c r="Q268" i="3" s="1"/>
  <c r="Q267" i="3" s="1"/>
  <c r="J267" i="3"/>
  <c r="I267" i="3"/>
  <c r="K266" i="3"/>
  <c r="N266" i="3" s="1"/>
  <c r="K265" i="3"/>
  <c r="N265" i="3" s="1"/>
  <c r="O265" i="3" s="1"/>
  <c r="K264" i="3"/>
  <c r="N264" i="3" s="1"/>
  <c r="J263" i="3"/>
  <c r="I263" i="3"/>
  <c r="K262" i="3"/>
  <c r="N262" i="3" s="1"/>
  <c r="O262" i="3" s="1"/>
  <c r="K261" i="3"/>
  <c r="J260" i="3"/>
  <c r="I260" i="3"/>
  <c r="K254" i="3"/>
  <c r="K253" i="3" s="1"/>
  <c r="J253" i="3"/>
  <c r="I253" i="3"/>
  <c r="K252" i="3"/>
  <c r="K251" i="3" s="1"/>
  <c r="J251" i="3"/>
  <c r="I251" i="3"/>
  <c r="K250" i="3"/>
  <c r="K249" i="3" s="1"/>
  <c r="J249" i="3"/>
  <c r="I249" i="3"/>
  <c r="K245" i="3"/>
  <c r="N245" i="3" s="1"/>
  <c r="U245" i="3" s="1"/>
  <c r="U244" i="3" s="1"/>
  <c r="J244" i="3"/>
  <c r="I244" i="3"/>
  <c r="K243" i="3"/>
  <c r="N243" i="3" s="1"/>
  <c r="K242" i="3"/>
  <c r="N242" i="3" s="1"/>
  <c r="U242" i="3" s="1"/>
  <c r="J241" i="3"/>
  <c r="I241" i="3"/>
  <c r="K240" i="3"/>
  <c r="N240" i="3" s="1"/>
  <c r="U240" i="3" s="1"/>
  <c r="U239" i="3" s="1"/>
  <c r="J239" i="3"/>
  <c r="I239" i="3"/>
  <c r="K238" i="3"/>
  <c r="N238" i="3" s="1"/>
  <c r="K237" i="3"/>
  <c r="N237" i="3" s="1"/>
  <c r="J236" i="3"/>
  <c r="I236" i="3"/>
  <c r="K235" i="3"/>
  <c r="J235" i="3"/>
  <c r="J232" i="3" s="1"/>
  <c r="K234" i="3"/>
  <c r="N234" i="3" s="1"/>
  <c r="K233" i="3"/>
  <c r="N233" i="3" s="1"/>
  <c r="U233" i="3" s="1"/>
  <c r="I232" i="3"/>
  <c r="K227" i="3"/>
  <c r="N227" i="3" s="1"/>
  <c r="R227" i="3" s="1"/>
  <c r="R226" i="3" s="1"/>
  <c r="R225" i="3" s="1"/>
  <c r="R224" i="3" s="1"/>
  <c r="J226" i="3"/>
  <c r="J225" i="3" s="1"/>
  <c r="J224" i="3" s="1"/>
  <c r="I226" i="3"/>
  <c r="I225" i="3" s="1"/>
  <c r="I224" i="3" s="1"/>
  <c r="K222" i="3"/>
  <c r="K221" i="3" s="1"/>
  <c r="J221" i="3"/>
  <c r="I221" i="3"/>
  <c r="K220" i="3"/>
  <c r="N220" i="3" s="1"/>
  <c r="K219" i="3"/>
  <c r="N219" i="3" s="1"/>
  <c r="U219" i="3" s="1"/>
  <c r="J218" i="3"/>
  <c r="I218" i="3"/>
  <c r="K217" i="3"/>
  <c r="N217" i="3" s="1"/>
  <c r="K216" i="3"/>
  <c r="N216" i="3" s="1"/>
  <c r="K215" i="3"/>
  <c r="N215" i="3" s="1"/>
  <c r="U215" i="3" s="1"/>
  <c r="J214" i="3"/>
  <c r="I214" i="3"/>
  <c r="K210" i="3"/>
  <c r="N210" i="3" s="1"/>
  <c r="K209" i="3"/>
  <c r="N209" i="3" s="1"/>
  <c r="U209" i="3" s="1"/>
  <c r="J208" i="3"/>
  <c r="J207" i="3" s="1"/>
  <c r="J206" i="3" s="1"/>
  <c r="I208" i="3"/>
  <c r="I207" i="3" s="1"/>
  <c r="I206" i="3" s="1"/>
  <c r="K204" i="3"/>
  <c r="K203" i="3" s="1"/>
  <c r="K202" i="3" s="1"/>
  <c r="J204" i="3"/>
  <c r="J203" i="3" s="1"/>
  <c r="J202" i="3" s="1"/>
  <c r="I203" i="3"/>
  <c r="I202" i="3" s="1"/>
  <c r="K201" i="3"/>
  <c r="N201" i="3" s="1"/>
  <c r="U201" i="3" s="1"/>
  <c r="U200" i="3" s="1"/>
  <c r="U199" i="3" s="1"/>
  <c r="U198" i="3" s="1"/>
  <c r="J200" i="3"/>
  <c r="J199" i="3" s="1"/>
  <c r="I200" i="3"/>
  <c r="I199" i="3" s="1"/>
  <c r="K196" i="3"/>
  <c r="N196" i="3" s="1"/>
  <c r="K195" i="3"/>
  <c r="N195" i="3" s="1"/>
  <c r="U195" i="3" s="1"/>
  <c r="J194" i="3"/>
  <c r="J193" i="3" s="1"/>
  <c r="J192" i="3" s="1"/>
  <c r="I194" i="3"/>
  <c r="I193" i="3" s="1"/>
  <c r="I192" i="3" s="1"/>
  <c r="K190" i="3"/>
  <c r="N190" i="3" s="1"/>
  <c r="U190" i="3" s="1"/>
  <c r="K189" i="3"/>
  <c r="N189" i="3" s="1"/>
  <c r="J188" i="3"/>
  <c r="J187" i="3" s="1"/>
  <c r="J186" i="3" s="1"/>
  <c r="I188" i="3"/>
  <c r="I187" i="3" s="1"/>
  <c r="I186" i="3" s="1"/>
  <c r="K184" i="3"/>
  <c r="N184" i="3" s="1"/>
  <c r="K183" i="3"/>
  <c r="N183" i="3" s="1"/>
  <c r="U183" i="3" s="1"/>
  <c r="J182" i="3"/>
  <c r="J181" i="3" s="1"/>
  <c r="J180" i="3" s="1"/>
  <c r="I182" i="3"/>
  <c r="I181" i="3" s="1"/>
  <c r="I180" i="3" s="1"/>
  <c r="K178" i="3"/>
  <c r="N178" i="3" s="1"/>
  <c r="Q178" i="3" s="1"/>
  <c r="Q177" i="3" s="1"/>
  <c r="J177" i="3"/>
  <c r="I177" i="3"/>
  <c r="K176" i="3"/>
  <c r="N176" i="3" s="1"/>
  <c r="K175" i="3"/>
  <c r="N175" i="3" s="1"/>
  <c r="K174" i="3"/>
  <c r="N174" i="3" s="1"/>
  <c r="Q174" i="3" s="1"/>
  <c r="J173" i="3"/>
  <c r="I173" i="3"/>
  <c r="K169" i="3"/>
  <c r="N169" i="3" s="1"/>
  <c r="K168" i="3"/>
  <c r="N168" i="3" s="1"/>
  <c r="Q168" i="3" s="1"/>
  <c r="J167" i="3"/>
  <c r="J166" i="3" s="1"/>
  <c r="J165" i="3" s="1"/>
  <c r="I167" i="3"/>
  <c r="I166" i="3" s="1"/>
  <c r="I165" i="3" s="1"/>
  <c r="K163" i="3"/>
  <c r="N163" i="3" s="1"/>
  <c r="K162" i="3"/>
  <c r="N162" i="3" s="1"/>
  <c r="K161" i="3"/>
  <c r="N161" i="3" s="1"/>
  <c r="S161" i="3" s="1"/>
  <c r="J160" i="3"/>
  <c r="J159" i="3" s="1"/>
  <c r="J158" i="3" s="1"/>
  <c r="I160" i="3"/>
  <c r="I159" i="3" s="1"/>
  <c r="I158" i="3" s="1"/>
  <c r="K155" i="3"/>
  <c r="K154" i="3" s="1"/>
  <c r="J155" i="3"/>
  <c r="I154" i="3"/>
  <c r="K153" i="3"/>
  <c r="N153" i="3" s="1"/>
  <c r="K152" i="3"/>
  <c r="N152" i="3" s="1"/>
  <c r="K151" i="3"/>
  <c r="N151" i="3" s="1"/>
  <c r="J150" i="3"/>
  <c r="I150" i="3"/>
  <c r="K146" i="3"/>
  <c r="N146" i="3" s="1"/>
  <c r="K145" i="3"/>
  <c r="N145" i="3" s="1"/>
  <c r="K144" i="3"/>
  <c r="N144" i="3" s="1"/>
  <c r="J143" i="3"/>
  <c r="J142" i="3" s="1"/>
  <c r="J141" i="3" s="1"/>
  <c r="I143" i="3"/>
  <c r="I142" i="3" s="1"/>
  <c r="I141" i="3" s="1"/>
  <c r="K139" i="3"/>
  <c r="K138" i="3" s="1"/>
  <c r="J139" i="3"/>
  <c r="J138" i="3" s="1"/>
  <c r="I138" i="3"/>
  <c r="K137" i="3"/>
  <c r="N137" i="3" s="1"/>
  <c r="K136" i="3"/>
  <c r="J136" i="3"/>
  <c r="I135" i="3"/>
  <c r="I134" i="3" s="1"/>
  <c r="I133" i="3" s="1"/>
  <c r="K130" i="3"/>
  <c r="N130" i="3" s="1"/>
  <c r="J129" i="3"/>
  <c r="J128" i="3" s="1"/>
  <c r="J127" i="3" s="1"/>
  <c r="I129" i="3"/>
  <c r="I128" i="3" s="1"/>
  <c r="I127" i="3" s="1"/>
  <c r="K125" i="3"/>
  <c r="K124" i="3" s="1"/>
  <c r="K123" i="3" s="1"/>
  <c r="K122" i="3" s="1"/>
  <c r="J125" i="3"/>
  <c r="J124" i="3" s="1"/>
  <c r="J123" i="3" s="1"/>
  <c r="J122" i="3" s="1"/>
  <c r="I124" i="3"/>
  <c r="I123" i="3" s="1"/>
  <c r="I122" i="3" s="1"/>
  <c r="K120" i="3"/>
  <c r="N120" i="3" s="1"/>
  <c r="R120" i="3" s="1"/>
  <c r="R119" i="3" s="1"/>
  <c r="R118" i="3" s="1"/>
  <c r="R117" i="3" s="1"/>
  <c r="R116" i="3" s="1"/>
  <c r="J119" i="3"/>
  <c r="J118" i="3" s="1"/>
  <c r="J117" i="3" s="1"/>
  <c r="I119" i="3"/>
  <c r="I118" i="3" s="1"/>
  <c r="I117" i="3" s="1"/>
  <c r="K114" i="3"/>
  <c r="N114" i="3" s="1"/>
  <c r="J113" i="3"/>
  <c r="I113" i="3"/>
  <c r="K112" i="3"/>
  <c r="K111" i="3" s="1"/>
  <c r="J111" i="3"/>
  <c r="I111" i="3"/>
  <c r="K107" i="3"/>
  <c r="N107" i="3" s="1"/>
  <c r="K106" i="3"/>
  <c r="N106" i="3" s="1"/>
  <c r="R106" i="3" s="1"/>
  <c r="J105" i="3"/>
  <c r="I105" i="3"/>
  <c r="K104" i="3"/>
  <c r="J104" i="3"/>
  <c r="K103" i="3"/>
  <c r="N103" i="3" s="1"/>
  <c r="U103" i="3" s="1"/>
  <c r="K102" i="3"/>
  <c r="N102" i="3" s="1"/>
  <c r="I101" i="3"/>
  <c r="K97" i="3"/>
  <c r="N97" i="3" s="1"/>
  <c r="K96" i="3"/>
  <c r="N96" i="3" s="1"/>
  <c r="R96" i="3" s="1"/>
  <c r="J95" i="3"/>
  <c r="J94" i="3" s="1"/>
  <c r="J93" i="3" s="1"/>
  <c r="I95" i="3"/>
  <c r="I94" i="3" s="1"/>
  <c r="I93" i="3" s="1"/>
  <c r="K91" i="3"/>
  <c r="N91" i="3" s="1"/>
  <c r="K90" i="3"/>
  <c r="N90" i="3" s="1"/>
  <c r="K89" i="3"/>
  <c r="N89" i="3" s="1"/>
  <c r="K88" i="3"/>
  <c r="N88" i="3" s="1"/>
  <c r="J87" i="3"/>
  <c r="I87" i="3"/>
  <c r="K86" i="3"/>
  <c r="N86" i="3" s="1"/>
  <c r="O86" i="3" s="1"/>
  <c r="S86" i="3" s="1"/>
  <c r="K85" i="3"/>
  <c r="J84" i="3"/>
  <c r="I84" i="3"/>
  <c r="K83" i="3"/>
  <c r="K82" i="3" s="1"/>
  <c r="J82" i="3"/>
  <c r="I82" i="3"/>
  <c r="K81" i="3"/>
  <c r="J81" i="3"/>
  <c r="J77" i="3" s="1"/>
  <c r="K80" i="3"/>
  <c r="N80" i="3" s="1"/>
  <c r="O80" i="3" s="1"/>
  <c r="K79" i="3"/>
  <c r="N79" i="3" s="1"/>
  <c r="K78" i="3"/>
  <c r="N78" i="3" s="1"/>
  <c r="R78" i="3" s="1"/>
  <c r="I77" i="3"/>
  <c r="K73" i="3"/>
  <c r="N73" i="3" s="1"/>
  <c r="K72" i="3"/>
  <c r="N72" i="3" s="1"/>
  <c r="K71" i="3"/>
  <c r="N71" i="3" s="1"/>
  <c r="R71" i="3" s="1"/>
  <c r="K70" i="3"/>
  <c r="N70" i="3" s="1"/>
  <c r="J69" i="3"/>
  <c r="J68" i="3" s="1"/>
  <c r="J67" i="3" s="1"/>
  <c r="I69" i="3"/>
  <c r="I68" i="3" s="1"/>
  <c r="I67" i="3" s="1"/>
  <c r="K65" i="3"/>
  <c r="N65" i="3" s="1"/>
  <c r="K64" i="3"/>
  <c r="N64" i="3" s="1"/>
  <c r="R64" i="3" s="1"/>
  <c r="J63" i="3"/>
  <c r="J62" i="3" s="1"/>
  <c r="J61" i="3" s="1"/>
  <c r="I63" i="3"/>
  <c r="I62" i="3" s="1"/>
  <c r="I61" i="3" s="1"/>
  <c r="K59" i="3"/>
  <c r="N59" i="3" s="1"/>
  <c r="K58" i="3"/>
  <c r="N58" i="3" s="1"/>
  <c r="R58" i="3" s="1"/>
  <c r="J57" i="3"/>
  <c r="J56" i="3" s="1"/>
  <c r="J55" i="3" s="1"/>
  <c r="I57" i="3"/>
  <c r="I56" i="3" s="1"/>
  <c r="I55" i="3" s="1"/>
  <c r="K50" i="3"/>
  <c r="K49" i="3" s="1"/>
  <c r="J49" i="3"/>
  <c r="I49" i="3"/>
  <c r="K47" i="3"/>
  <c r="J47" i="3"/>
  <c r="J46" i="3" s="1"/>
  <c r="I46" i="3"/>
  <c r="K44" i="3"/>
  <c r="N44" i="3" s="1"/>
  <c r="S44" i="3" s="1"/>
  <c r="S43" i="3" s="1"/>
  <c r="J43" i="3"/>
  <c r="I43" i="3"/>
  <c r="K40" i="3"/>
  <c r="N40" i="3" s="1"/>
  <c r="J39" i="3"/>
  <c r="I39" i="3"/>
  <c r="K37" i="3"/>
  <c r="N37" i="3" s="1"/>
  <c r="R37" i="3" s="1"/>
  <c r="R36" i="3" s="1"/>
  <c r="R29" i="3" s="1"/>
  <c r="J36" i="3"/>
  <c r="I36" i="3"/>
  <c r="K34" i="3"/>
  <c r="N34" i="3" s="1"/>
  <c r="T34" i="3" s="1"/>
  <c r="T33" i="3" s="1"/>
  <c r="J33" i="3"/>
  <c r="I33" i="3"/>
  <c r="K31" i="3"/>
  <c r="N31" i="3" s="1"/>
  <c r="Q31" i="3" s="1"/>
  <c r="Q30" i="3" s="1"/>
  <c r="J30" i="3"/>
  <c r="I30" i="3"/>
  <c r="K27" i="3"/>
  <c r="N27" i="3" s="1"/>
  <c r="O27" i="3" s="1"/>
  <c r="K26" i="3"/>
  <c r="N26" i="3" s="1"/>
  <c r="O26" i="3" s="1"/>
  <c r="K25" i="3"/>
  <c r="N25" i="3" s="1"/>
  <c r="U25" i="3" s="1"/>
  <c r="J24" i="3"/>
  <c r="I24" i="3"/>
  <c r="K22" i="3"/>
  <c r="N22" i="3" s="1"/>
  <c r="U22" i="3" s="1"/>
  <c r="K21" i="3"/>
  <c r="J20" i="3"/>
  <c r="I20" i="3"/>
  <c r="O629" i="3" l="1"/>
  <c r="S629" i="3"/>
  <c r="O630" i="3"/>
  <c r="S630" i="3"/>
  <c r="O634" i="3"/>
  <c r="S634" i="3"/>
  <c r="S632" i="3" s="1"/>
  <c r="O640" i="3"/>
  <c r="Q640" i="3"/>
  <c r="O643" i="3"/>
  <c r="Q643" i="3"/>
  <c r="Q641" i="3" s="1"/>
  <c r="O650" i="3"/>
  <c r="Q650" i="3"/>
  <c r="Q648" i="3" s="1"/>
  <c r="O653" i="3"/>
  <c r="Q653" i="3"/>
  <c r="O660" i="3"/>
  <c r="Q660" i="3"/>
  <c r="Q658" i="3" s="1"/>
  <c r="O663" i="3"/>
  <c r="Q663" i="3"/>
  <c r="Q661" i="3" s="1"/>
  <c r="O666" i="3"/>
  <c r="Q666" i="3"/>
  <c r="O596" i="3"/>
  <c r="Q596" i="3"/>
  <c r="J373" i="3"/>
  <c r="J372" i="3" s="1"/>
  <c r="O597" i="3"/>
  <c r="Q597" i="3"/>
  <c r="O600" i="3"/>
  <c r="Q600" i="3"/>
  <c r="Q598" i="3" s="1"/>
  <c r="O607" i="3"/>
  <c r="Q607" i="3"/>
  <c r="O610" i="3"/>
  <c r="Q610" i="3"/>
  <c r="Q608" i="3" s="1"/>
  <c r="O617" i="3"/>
  <c r="Q617" i="3"/>
  <c r="O595" i="3"/>
  <c r="Q595" i="3"/>
  <c r="O555" i="3"/>
  <c r="U555" i="3"/>
  <c r="O561" i="3"/>
  <c r="S561" i="3"/>
  <c r="S559" i="3" s="1"/>
  <c r="O570" i="3"/>
  <c r="R570" i="3"/>
  <c r="R567" i="3" s="1"/>
  <c r="R566" i="3" s="1"/>
  <c r="R565" i="3" s="1"/>
  <c r="O576" i="3"/>
  <c r="S576" i="3"/>
  <c r="O577" i="3"/>
  <c r="S577" i="3"/>
  <c r="O563" i="3"/>
  <c r="O562" i="3" s="1"/>
  <c r="S563" i="3"/>
  <c r="S562" i="3" s="1"/>
  <c r="O569" i="3"/>
  <c r="S569" i="3"/>
  <c r="O523" i="3"/>
  <c r="S523" i="3"/>
  <c r="O537" i="3"/>
  <c r="R537" i="3"/>
  <c r="O538" i="3"/>
  <c r="T538" i="3"/>
  <c r="T536" i="3" s="1"/>
  <c r="T535" i="3" s="1"/>
  <c r="T534" i="3" s="1"/>
  <c r="O547" i="3"/>
  <c r="T547" i="3"/>
  <c r="T545" i="3" s="1"/>
  <c r="O514" i="3"/>
  <c r="S514" i="3"/>
  <c r="U528" i="3"/>
  <c r="U527" i="3" s="1"/>
  <c r="O515" i="3"/>
  <c r="S515" i="3"/>
  <c r="O506" i="3"/>
  <c r="T506" i="3"/>
  <c r="O436" i="3"/>
  <c r="Q436" i="3"/>
  <c r="O448" i="3"/>
  <c r="Q448" i="3"/>
  <c r="N450" i="3"/>
  <c r="Q451" i="3"/>
  <c r="Q450" i="3" s="1"/>
  <c r="O439" i="3"/>
  <c r="Q439" i="3"/>
  <c r="O449" i="3"/>
  <c r="Q449" i="3"/>
  <c r="O435" i="3"/>
  <c r="Q435" i="3"/>
  <c r="O388" i="3"/>
  <c r="Q388" i="3"/>
  <c r="O378" i="3"/>
  <c r="Q378" i="3"/>
  <c r="Q377" i="3" s="1"/>
  <c r="O393" i="3"/>
  <c r="Q393" i="3"/>
  <c r="O367" i="3"/>
  <c r="Q367" i="3"/>
  <c r="O376" i="3"/>
  <c r="Q376" i="3"/>
  <c r="Q374" i="3" s="1"/>
  <c r="O386" i="3"/>
  <c r="Q386" i="3"/>
  <c r="O368" i="3"/>
  <c r="Q368" i="3"/>
  <c r="O387" i="3"/>
  <c r="Q387" i="3"/>
  <c r="O391" i="3"/>
  <c r="Q391" i="3"/>
  <c r="Q390" i="3" s="1"/>
  <c r="Q389" i="3" s="1"/>
  <c r="Q352" i="3"/>
  <c r="Q351" i="3" s="1"/>
  <c r="O324" i="3"/>
  <c r="Q324" i="3"/>
  <c r="O346" i="3"/>
  <c r="Q346" i="3"/>
  <c r="O320" i="3"/>
  <c r="Q320" i="3"/>
  <c r="O335" i="3"/>
  <c r="Q335" i="3"/>
  <c r="Q333" i="3" s="1"/>
  <c r="Q330" i="3" s="1"/>
  <c r="Q329" i="3" s="1"/>
  <c r="O347" i="3"/>
  <c r="Q347" i="3"/>
  <c r="O311" i="3"/>
  <c r="Q311" i="3"/>
  <c r="Q309" i="3" s="1"/>
  <c r="O314" i="3"/>
  <c r="Q314" i="3"/>
  <c r="O323" i="3"/>
  <c r="O322" i="3" s="1"/>
  <c r="Q323" i="3"/>
  <c r="O327" i="3"/>
  <c r="O326" i="3" s="1"/>
  <c r="O325" i="3" s="1"/>
  <c r="Q327" i="3"/>
  <c r="Q326" i="3" s="1"/>
  <c r="Q325" i="3" s="1"/>
  <c r="O303" i="3"/>
  <c r="Q303" i="3"/>
  <c r="O290" i="3"/>
  <c r="Q290" i="3"/>
  <c r="O286" i="3"/>
  <c r="Q286" i="3"/>
  <c r="O298" i="3"/>
  <c r="Q298" i="3"/>
  <c r="O285" i="3"/>
  <c r="Q285" i="3"/>
  <c r="O284" i="3"/>
  <c r="Q284" i="3"/>
  <c r="O299" i="3"/>
  <c r="Q299" i="3"/>
  <c r="O302" i="3"/>
  <c r="Q302" i="3"/>
  <c r="O305" i="3"/>
  <c r="O304" i="3" s="1"/>
  <c r="Q305" i="3"/>
  <c r="Q304" i="3" s="1"/>
  <c r="S19" i="3"/>
  <c r="O274" i="3"/>
  <c r="Q274" i="3"/>
  <c r="Q272" i="3" s="1"/>
  <c r="Q271" i="3" s="1"/>
  <c r="Q270" i="3" s="1"/>
  <c r="O266" i="3"/>
  <c r="Q266" i="3"/>
  <c r="Q263" i="3" s="1"/>
  <c r="Q259" i="3" s="1"/>
  <c r="Q258" i="3" s="1"/>
  <c r="O234" i="3"/>
  <c r="U234" i="3"/>
  <c r="O237" i="3"/>
  <c r="S237" i="3"/>
  <c r="S236" i="3" s="1"/>
  <c r="S231" i="3" s="1"/>
  <c r="S230" i="3" s="1"/>
  <c r="O243" i="3"/>
  <c r="U243" i="3"/>
  <c r="U241" i="3" s="1"/>
  <c r="O216" i="3"/>
  <c r="U216" i="3"/>
  <c r="O238" i="3"/>
  <c r="U238" i="3"/>
  <c r="O217" i="3"/>
  <c r="U217" i="3"/>
  <c r="O220" i="3"/>
  <c r="U220" i="3"/>
  <c r="O175" i="3"/>
  <c r="Q175" i="3"/>
  <c r="O184" i="3"/>
  <c r="U184" i="3"/>
  <c r="U182" i="3" s="1"/>
  <c r="U181" i="3" s="1"/>
  <c r="U180" i="3" s="1"/>
  <c r="O196" i="3"/>
  <c r="U196" i="3"/>
  <c r="U194" i="3" s="1"/>
  <c r="U193" i="3" s="1"/>
  <c r="U192" i="3" s="1"/>
  <c r="O176" i="3"/>
  <c r="Q176" i="3"/>
  <c r="O210" i="3"/>
  <c r="U210" i="3"/>
  <c r="U208" i="3" s="1"/>
  <c r="U207" i="3" s="1"/>
  <c r="U206" i="3" s="1"/>
  <c r="O189" i="3"/>
  <c r="U189" i="3"/>
  <c r="U188" i="3" s="1"/>
  <c r="U187" i="3" s="1"/>
  <c r="U186" i="3" s="1"/>
  <c r="O144" i="3"/>
  <c r="S144" i="3"/>
  <c r="O137" i="3"/>
  <c r="U137" i="3"/>
  <c r="O145" i="3"/>
  <c r="S145" i="3"/>
  <c r="O151" i="3"/>
  <c r="T151" i="3"/>
  <c r="O146" i="3"/>
  <c r="S146" i="3"/>
  <c r="O152" i="3"/>
  <c r="T152" i="3"/>
  <c r="O162" i="3"/>
  <c r="S162" i="3"/>
  <c r="O153" i="3"/>
  <c r="T153" i="3"/>
  <c r="O163" i="3"/>
  <c r="S163" i="3"/>
  <c r="O169" i="3"/>
  <c r="Q169" i="3"/>
  <c r="Q167" i="3" s="1"/>
  <c r="Q166" i="3" s="1"/>
  <c r="Q165" i="3" s="1"/>
  <c r="N113" i="3"/>
  <c r="T114" i="3"/>
  <c r="T113" i="3" s="1"/>
  <c r="O97" i="3"/>
  <c r="R97" i="3"/>
  <c r="R95" i="3" s="1"/>
  <c r="R94" i="3" s="1"/>
  <c r="R93" i="3" s="1"/>
  <c r="N129" i="3"/>
  <c r="N128" i="3" s="1"/>
  <c r="N127" i="3" s="1"/>
  <c r="T130" i="3"/>
  <c r="T129" i="3" s="1"/>
  <c r="T128" i="3" s="1"/>
  <c r="T127" i="3" s="1"/>
  <c r="T116" i="3" s="1"/>
  <c r="O107" i="3"/>
  <c r="R107" i="3"/>
  <c r="R105" i="3" s="1"/>
  <c r="R100" i="3" s="1"/>
  <c r="R99" i="3" s="1"/>
  <c r="O102" i="3"/>
  <c r="U102" i="3"/>
  <c r="I19" i="3"/>
  <c r="O70" i="3"/>
  <c r="R70" i="3"/>
  <c r="O73" i="3"/>
  <c r="R73" i="3"/>
  <c r="O79" i="3"/>
  <c r="S79" i="3" s="1"/>
  <c r="S77" i="3" s="1"/>
  <c r="R79" i="3"/>
  <c r="O91" i="3"/>
  <c r="R91" i="3"/>
  <c r="R87" i="3" s="1"/>
  <c r="U42" i="3"/>
  <c r="Q42" i="3"/>
  <c r="O88" i="3"/>
  <c r="U88" i="3"/>
  <c r="U87" i="3" s="1"/>
  <c r="U76" i="3" s="1"/>
  <c r="U75" i="3" s="1"/>
  <c r="O59" i="3"/>
  <c r="R59" i="3"/>
  <c r="R57" i="3" s="1"/>
  <c r="R56" i="3" s="1"/>
  <c r="R55" i="3" s="1"/>
  <c r="O65" i="3"/>
  <c r="R65" i="3"/>
  <c r="R63" i="3" s="1"/>
  <c r="R62" i="3" s="1"/>
  <c r="R61" i="3" s="1"/>
  <c r="O72" i="3"/>
  <c r="R72" i="3"/>
  <c r="X78" i="3"/>
  <c r="O90" i="3"/>
  <c r="Q90" i="3"/>
  <c r="S29" i="3"/>
  <c r="R19" i="3"/>
  <c r="R51" i="3" s="1"/>
  <c r="R18" i="3" s="1"/>
  <c r="V19" i="3"/>
  <c r="T19" i="3"/>
  <c r="U29" i="3"/>
  <c r="Q29" i="3"/>
  <c r="I483" i="3"/>
  <c r="I482" i="3" s="1"/>
  <c r="U27" i="3"/>
  <c r="U26" i="3"/>
  <c r="T42" i="3"/>
  <c r="T29" i="3"/>
  <c r="Q19" i="3"/>
  <c r="J172" i="3"/>
  <c r="J171" i="3" s="1"/>
  <c r="I172" i="3"/>
  <c r="I171" i="3" s="1"/>
  <c r="J213" i="3"/>
  <c r="J212" i="3" s="1"/>
  <c r="J396" i="3"/>
  <c r="I259" i="3"/>
  <c r="I258" i="3" s="1"/>
  <c r="I295" i="3"/>
  <c r="I294" i="3" s="1"/>
  <c r="I352" i="3"/>
  <c r="I351" i="3" s="1"/>
  <c r="J456" i="3"/>
  <c r="J455" i="3" s="1"/>
  <c r="J483" i="3"/>
  <c r="J482" i="3" s="1"/>
  <c r="J271" i="3"/>
  <c r="J270" i="3" s="1"/>
  <c r="N321" i="3"/>
  <c r="N318" i="3" s="1"/>
  <c r="I364" i="3"/>
  <c r="I363" i="3" s="1"/>
  <c r="I456" i="3"/>
  <c r="I455" i="3" s="1"/>
  <c r="I528" i="3"/>
  <c r="I527" i="3" s="1"/>
  <c r="J582" i="3"/>
  <c r="J581" i="3" s="1"/>
  <c r="I494" i="3"/>
  <c r="I493" i="3" s="1"/>
  <c r="J19" i="3"/>
  <c r="I29" i="3"/>
  <c r="J42" i="3"/>
  <c r="J76" i="3"/>
  <c r="J75" i="3" s="1"/>
  <c r="I110" i="3"/>
  <c r="I109" i="3" s="1"/>
  <c r="J330" i="3"/>
  <c r="J329" i="3" s="1"/>
  <c r="I445" i="3"/>
  <c r="I444" i="3" s="1"/>
  <c r="I149" i="3"/>
  <c r="I148" i="3" s="1"/>
  <c r="I132" i="3" s="1"/>
  <c r="I271" i="3"/>
  <c r="I270" i="3" s="1"/>
  <c r="J409" i="3"/>
  <c r="I431" i="3"/>
  <c r="N81" i="3"/>
  <c r="J110" i="3"/>
  <c r="J109" i="3" s="1"/>
  <c r="J295" i="3"/>
  <c r="J294" i="3" s="1"/>
  <c r="J352" i="3"/>
  <c r="J351" i="3" s="1"/>
  <c r="J445" i="3"/>
  <c r="J444" i="3" s="1"/>
  <c r="J443" i="3" s="1"/>
  <c r="J231" i="3"/>
  <c r="J230" i="3" s="1"/>
  <c r="I248" i="3"/>
  <c r="I247" i="3" s="1"/>
  <c r="J280" i="3"/>
  <c r="J317" i="3"/>
  <c r="J316" i="3" s="1"/>
  <c r="I382" i="3"/>
  <c r="J592" i="3"/>
  <c r="J591" i="3" s="1"/>
  <c r="I100" i="3"/>
  <c r="I99" i="3" s="1"/>
  <c r="I213" i="3"/>
  <c r="I212" i="3" s="1"/>
  <c r="J248" i="3"/>
  <c r="J247" i="3" s="1"/>
  <c r="I330" i="3"/>
  <c r="I329" i="3" s="1"/>
  <c r="J343" i="3"/>
  <c r="J342" i="3" s="1"/>
  <c r="N453" i="3"/>
  <c r="J475" i="3"/>
  <c r="J474" i="3" s="1"/>
  <c r="J473" i="3" s="1"/>
  <c r="J535" i="3"/>
  <c r="J534" i="3" s="1"/>
  <c r="I535" i="3"/>
  <c r="I534" i="3" s="1"/>
  <c r="I582" i="3"/>
  <c r="I581" i="3" s="1"/>
  <c r="I592" i="3"/>
  <c r="I591" i="3" s="1"/>
  <c r="J502" i="3"/>
  <c r="I668" i="3"/>
  <c r="J116" i="3"/>
  <c r="K129" i="3"/>
  <c r="K128" i="3" s="1"/>
  <c r="K127" i="3" s="1"/>
  <c r="N21" i="3"/>
  <c r="K260" i="3"/>
  <c r="J382" i="3"/>
  <c r="J198" i="3"/>
  <c r="I421" i="3"/>
  <c r="J668" i="3"/>
  <c r="I42" i="3"/>
  <c r="N235" i="3"/>
  <c r="J259" i="3"/>
  <c r="J258" i="3" s="1"/>
  <c r="I280" i="3"/>
  <c r="I343" i="3"/>
  <c r="I342" i="3" s="1"/>
  <c r="I475" i="3"/>
  <c r="I474" i="3" s="1"/>
  <c r="I473" i="3" s="1"/>
  <c r="J528" i="3"/>
  <c r="J527" i="3" s="1"/>
  <c r="J518" i="3" s="1"/>
  <c r="I614" i="3"/>
  <c r="I613" i="3" s="1"/>
  <c r="N639" i="3"/>
  <c r="I76" i="3"/>
  <c r="I75" i="3" s="1"/>
  <c r="I231" i="3"/>
  <c r="I230" i="3" s="1"/>
  <c r="N291" i="3"/>
  <c r="I396" i="3"/>
  <c r="I409" i="3"/>
  <c r="I626" i="3"/>
  <c r="I625" i="3" s="1"/>
  <c r="J29" i="3"/>
  <c r="N47" i="3"/>
  <c r="I116" i="3"/>
  <c r="I198" i="3"/>
  <c r="I317" i="3"/>
  <c r="I316" i="3" s="1"/>
  <c r="J364" i="3"/>
  <c r="J363" i="3" s="1"/>
  <c r="J494" i="3"/>
  <c r="J493" i="3" s="1"/>
  <c r="J481" i="3" s="1"/>
  <c r="K521" i="3"/>
  <c r="K520" i="3" s="1"/>
  <c r="K519" i="3" s="1"/>
  <c r="J626" i="3"/>
  <c r="J625" i="3" s="1"/>
  <c r="J612" i="3" s="1"/>
  <c r="I481" i="3"/>
  <c r="I502" i="3"/>
  <c r="K113" i="3"/>
  <c r="K110" i="3" s="1"/>
  <c r="K109" i="3" s="1"/>
  <c r="K452" i="3"/>
  <c r="N488" i="3"/>
  <c r="N487" i="3" s="1"/>
  <c r="N621" i="3"/>
  <c r="N370" i="3"/>
  <c r="K411" i="3"/>
  <c r="K410" i="3" s="1"/>
  <c r="N155" i="3"/>
  <c r="K236" i="3"/>
  <c r="K423" i="3"/>
  <c r="K422" i="3" s="1"/>
  <c r="K450" i="3"/>
  <c r="K553" i="3"/>
  <c r="K552" i="3" s="1"/>
  <c r="K551" i="3" s="1"/>
  <c r="N112" i="3"/>
  <c r="N361" i="3"/>
  <c r="O587" i="3"/>
  <c r="O586" i="3" s="1"/>
  <c r="O589" i="3"/>
  <c r="O588" i="3" s="1"/>
  <c r="O114" i="3"/>
  <c r="O113" i="3" s="1"/>
  <c r="O130" i="3"/>
  <c r="O129" i="3" s="1"/>
  <c r="O128" i="3" s="1"/>
  <c r="O127" i="3" s="1"/>
  <c r="K135" i="3"/>
  <c r="K134" i="3" s="1"/>
  <c r="K133" i="3" s="1"/>
  <c r="N250" i="3"/>
  <c r="N252" i="3"/>
  <c r="N254" i="3"/>
  <c r="K282" i="3"/>
  <c r="K281" i="3" s="1"/>
  <c r="K326" i="3"/>
  <c r="K325" i="3" s="1"/>
  <c r="K377" i="3"/>
  <c r="K390" i="3"/>
  <c r="K389" i="3" s="1"/>
  <c r="N462" i="3"/>
  <c r="O462" i="3" s="1"/>
  <c r="O461" i="3" s="1"/>
  <c r="N464" i="3"/>
  <c r="O464" i="3" s="1"/>
  <c r="O463" i="3" s="1"/>
  <c r="N500" i="3"/>
  <c r="N522" i="3"/>
  <c r="N549" i="3"/>
  <c r="K664" i="3"/>
  <c r="K188" i="3"/>
  <c r="K187" i="3" s="1"/>
  <c r="K186" i="3" s="1"/>
  <c r="K433" i="3"/>
  <c r="K432" i="3" s="1"/>
  <c r="K605" i="3"/>
  <c r="K84" i="3"/>
  <c r="K101" i="3"/>
  <c r="K312" i="3"/>
  <c r="N412" i="3"/>
  <c r="O412" i="3" s="1"/>
  <c r="O411" i="3" s="1"/>
  <c r="O410" i="3" s="1"/>
  <c r="O451" i="3"/>
  <c r="O450" i="3" s="1"/>
  <c r="N498" i="3"/>
  <c r="N497" i="3" s="1"/>
  <c r="N606" i="3"/>
  <c r="K20" i="3"/>
  <c r="K46" i="3"/>
  <c r="N83" i="3"/>
  <c r="N85" i="3"/>
  <c r="O85" i="3" s="1"/>
  <c r="N204" i="3"/>
  <c r="K218" i="3"/>
  <c r="N261" i="3"/>
  <c r="O261" i="3" s="1"/>
  <c r="O260" i="3" s="1"/>
  <c r="N283" i="3"/>
  <c r="N313" i="3"/>
  <c r="N312" i="3" s="1"/>
  <c r="K322" i="3"/>
  <c r="N434" i="3"/>
  <c r="K484" i="3"/>
  <c r="K618" i="3"/>
  <c r="O622" i="3"/>
  <c r="O621" i="3" s="1"/>
  <c r="K627" i="3"/>
  <c r="K309" i="3"/>
  <c r="K427" i="3"/>
  <c r="K426" i="3" s="1"/>
  <c r="K438" i="3"/>
  <c r="K437" i="3" s="1"/>
  <c r="K545" i="3"/>
  <c r="K544" i="3" s="1"/>
  <c r="K543" i="3" s="1"/>
  <c r="K562" i="3"/>
  <c r="K583" i="3"/>
  <c r="O143" i="3"/>
  <c r="O142" i="3" s="1"/>
  <c r="O141" i="3" s="1"/>
  <c r="N545" i="3"/>
  <c r="K651" i="3"/>
  <c r="N50" i="3"/>
  <c r="S50" i="3" s="1"/>
  <c r="S49" i="3" s="1"/>
  <c r="N104" i="3"/>
  <c r="N125" i="3"/>
  <c r="N222" i="3"/>
  <c r="U222" i="3" s="1"/>
  <c r="K304" i="3"/>
  <c r="N424" i="3"/>
  <c r="O424" i="3" s="1"/>
  <c r="N428" i="3"/>
  <c r="O428" i="3" s="1"/>
  <c r="N479" i="3"/>
  <c r="N485" i="3"/>
  <c r="T485" i="3" s="1"/>
  <c r="T484" i="3" s="1"/>
  <c r="T483" i="3" s="1"/>
  <c r="T482" i="3" s="1"/>
  <c r="T481" i="3" s="1"/>
  <c r="N496" i="3"/>
  <c r="N525" i="3"/>
  <c r="S525" i="3" s="1"/>
  <c r="S524" i="3" s="1"/>
  <c r="O546" i="3"/>
  <c r="O545" i="3" s="1"/>
  <c r="N554" i="3"/>
  <c r="N584" i="3"/>
  <c r="N652" i="3"/>
  <c r="N665" i="3"/>
  <c r="K248" i="3"/>
  <c r="K247" i="3" s="1"/>
  <c r="N296" i="3"/>
  <c r="K505" i="3"/>
  <c r="K536" i="3"/>
  <c r="K318" i="3"/>
  <c r="K398" i="3"/>
  <c r="K397" i="3" s="1"/>
  <c r="K404" i="3"/>
  <c r="K403" i="3" s="1"/>
  <c r="N441" i="3"/>
  <c r="K476" i="3"/>
  <c r="K475" i="3" s="1"/>
  <c r="K474" i="3" s="1"/>
  <c r="K473" i="3" s="1"/>
  <c r="K513" i="3"/>
  <c r="K512" i="3" s="1"/>
  <c r="K511" i="3" s="1"/>
  <c r="N608" i="3"/>
  <c r="K638" i="3"/>
  <c r="N87" i="3"/>
  <c r="O89" i="3"/>
  <c r="O106" i="3"/>
  <c r="O105" i="3" s="1"/>
  <c r="N105" i="3"/>
  <c r="O37" i="3"/>
  <c r="O36" i="3" s="1"/>
  <c r="N36" i="3"/>
  <c r="O58" i="3"/>
  <c r="N57" i="3"/>
  <c r="N56" i="3" s="1"/>
  <c r="N55" i="3" s="1"/>
  <c r="N69" i="3"/>
  <c r="N68" i="3" s="1"/>
  <c r="N67" i="3" s="1"/>
  <c r="O71" i="3"/>
  <c r="O31" i="3"/>
  <c r="O30" i="3" s="1"/>
  <c r="N30" i="3"/>
  <c r="O25" i="3"/>
  <c r="O24" i="3" s="1"/>
  <c r="N24" i="3"/>
  <c r="O22" i="3"/>
  <c r="O34" i="3"/>
  <c r="O33" i="3" s="1"/>
  <c r="N33" i="3"/>
  <c r="O40" i="3"/>
  <c r="O39" i="3" s="1"/>
  <c r="N39" i="3"/>
  <c r="O44" i="3"/>
  <c r="O43" i="3" s="1"/>
  <c r="N43" i="3"/>
  <c r="O64" i="3"/>
  <c r="N63" i="3"/>
  <c r="N62" i="3" s="1"/>
  <c r="N61" i="3" s="1"/>
  <c r="O120" i="3"/>
  <c r="O119" i="3" s="1"/>
  <c r="O118" i="3" s="1"/>
  <c r="O117" i="3" s="1"/>
  <c r="N119" i="3"/>
  <c r="N118" i="3" s="1"/>
  <c r="N117" i="3" s="1"/>
  <c r="O78" i="3"/>
  <c r="O96" i="3"/>
  <c r="O95" i="3" s="1"/>
  <c r="O94" i="3" s="1"/>
  <c r="O93" i="3" s="1"/>
  <c r="N95" i="3"/>
  <c r="N94" i="3" s="1"/>
  <c r="N93" i="3" s="1"/>
  <c r="O103" i="3"/>
  <c r="K24" i="3"/>
  <c r="K43" i="3"/>
  <c r="K63" i="3"/>
  <c r="K62" i="3" s="1"/>
  <c r="K61" i="3" s="1"/>
  <c r="K77" i="3"/>
  <c r="K95" i="3"/>
  <c r="K94" i="3" s="1"/>
  <c r="K93" i="3" s="1"/>
  <c r="J101" i="3"/>
  <c r="J100" i="3" s="1"/>
  <c r="J99" i="3" s="1"/>
  <c r="K105" i="3"/>
  <c r="K119" i="3"/>
  <c r="K118" i="3" s="1"/>
  <c r="K117" i="3" s="1"/>
  <c r="N139" i="3"/>
  <c r="U139" i="3" s="1"/>
  <c r="U138" i="3" s="1"/>
  <c r="N143" i="3"/>
  <c r="N142" i="3" s="1"/>
  <c r="N141" i="3" s="1"/>
  <c r="N150" i="3"/>
  <c r="J154" i="3"/>
  <c r="J149" i="3" s="1"/>
  <c r="J148" i="3" s="1"/>
  <c r="O174" i="3"/>
  <c r="N173" i="3"/>
  <c r="O219" i="3"/>
  <c r="O218" i="3" s="1"/>
  <c r="N218" i="3"/>
  <c r="U218" i="3" s="1"/>
  <c r="O227" i="3"/>
  <c r="O226" i="3" s="1"/>
  <c r="O225" i="3" s="1"/>
  <c r="O224" i="3" s="1"/>
  <c r="N226" i="3"/>
  <c r="N225" i="3" s="1"/>
  <c r="N224" i="3" s="1"/>
  <c r="O242" i="3"/>
  <c r="O241" i="3" s="1"/>
  <c r="N241" i="3"/>
  <c r="O245" i="3"/>
  <c r="O244" i="3" s="1"/>
  <c r="N244" i="3"/>
  <c r="O278" i="3"/>
  <c r="O277" i="3" s="1"/>
  <c r="N277" i="3"/>
  <c r="K69" i="3"/>
  <c r="K68" i="3" s="1"/>
  <c r="K67" i="3" s="1"/>
  <c r="K87" i="3"/>
  <c r="N136" i="3"/>
  <c r="U136" i="3" s="1"/>
  <c r="U135" i="3" s="1"/>
  <c r="O168" i="3"/>
  <c r="N167" i="3"/>
  <c r="N166" i="3" s="1"/>
  <c r="N165" i="3" s="1"/>
  <c r="O178" i="3"/>
  <c r="O177" i="3" s="1"/>
  <c r="N177" i="3"/>
  <c r="O201" i="3"/>
  <c r="O200" i="3" s="1"/>
  <c r="O199" i="3" s="1"/>
  <c r="N200" i="3"/>
  <c r="N199" i="3" s="1"/>
  <c r="O240" i="3"/>
  <c r="O239" i="3" s="1"/>
  <c r="N239" i="3"/>
  <c r="O273" i="3"/>
  <c r="N272" i="3"/>
  <c r="O276" i="3"/>
  <c r="O275" i="3" s="1"/>
  <c r="N275" i="3"/>
  <c r="O161" i="3"/>
  <c r="O160" i="3" s="1"/>
  <c r="O159" i="3" s="1"/>
  <c r="O158" i="3" s="1"/>
  <c r="N160" i="3"/>
  <c r="N159" i="3" s="1"/>
  <c r="N158" i="3" s="1"/>
  <c r="N188" i="3"/>
  <c r="N187" i="3" s="1"/>
  <c r="N186" i="3" s="1"/>
  <c r="O190" i="3"/>
  <c r="O188" i="3" s="1"/>
  <c r="O187" i="3" s="1"/>
  <c r="O186" i="3" s="1"/>
  <c r="O215" i="3"/>
  <c r="O214" i="3" s="1"/>
  <c r="N214" i="3"/>
  <c r="O264" i="3"/>
  <c r="N263" i="3"/>
  <c r="O289" i="3"/>
  <c r="K30" i="3"/>
  <c r="K33" i="3"/>
  <c r="K36" i="3"/>
  <c r="K39" i="3"/>
  <c r="K57" i="3"/>
  <c r="K56" i="3" s="1"/>
  <c r="K55" i="3" s="1"/>
  <c r="J135" i="3"/>
  <c r="J134" i="3" s="1"/>
  <c r="J133" i="3" s="1"/>
  <c r="K143" i="3"/>
  <c r="K142" i="3" s="1"/>
  <c r="K141" i="3" s="1"/>
  <c r="K150" i="3"/>
  <c r="K149" i="3" s="1"/>
  <c r="K148" i="3" s="1"/>
  <c r="O183" i="3"/>
  <c r="N182" i="3"/>
  <c r="N181" i="3" s="1"/>
  <c r="N180" i="3" s="1"/>
  <c r="O195" i="3"/>
  <c r="O194" i="3" s="1"/>
  <c r="O193" i="3" s="1"/>
  <c r="O192" i="3" s="1"/>
  <c r="N194" i="3"/>
  <c r="N193" i="3" s="1"/>
  <c r="N192" i="3" s="1"/>
  <c r="O209" i="3"/>
  <c r="N208" i="3"/>
  <c r="N207" i="3" s="1"/>
  <c r="N206" i="3" s="1"/>
  <c r="O233" i="3"/>
  <c r="O268" i="3"/>
  <c r="O267" i="3" s="1"/>
  <c r="N267" i="3"/>
  <c r="O301" i="3"/>
  <c r="N300" i="3"/>
  <c r="K173" i="3"/>
  <c r="K182" i="3"/>
  <c r="K181" i="3" s="1"/>
  <c r="K180" i="3" s="1"/>
  <c r="K214" i="3"/>
  <c r="K239" i="3"/>
  <c r="K241" i="3"/>
  <c r="K263" i="3"/>
  <c r="K272" i="3"/>
  <c r="K300" i="3"/>
  <c r="N304" i="3"/>
  <c r="O334" i="3"/>
  <c r="N333" i="3"/>
  <c r="O349" i="3"/>
  <c r="O348" i="3" s="1"/>
  <c r="N348" i="3"/>
  <c r="O356" i="3"/>
  <c r="O355" i="3" s="1"/>
  <c r="N355" i="3"/>
  <c r="O310" i="3"/>
  <c r="N309" i="3"/>
  <c r="O332" i="3"/>
  <c r="O331" i="3" s="1"/>
  <c r="N331" i="3"/>
  <c r="O354" i="3"/>
  <c r="O353" i="3" s="1"/>
  <c r="N353" i="3"/>
  <c r="O399" i="3"/>
  <c r="O425" i="3"/>
  <c r="O440" i="3"/>
  <c r="O458" i="3"/>
  <c r="O457" i="3" s="1"/>
  <c r="N457" i="3"/>
  <c r="K177" i="3"/>
  <c r="K194" i="3"/>
  <c r="K193" i="3" s="1"/>
  <c r="K192" i="3" s="1"/>
  <c r="K232" i="3"/>
  <c r="N236" i="3"/>
  <c r="N251" i="3"/>
  <c r="K267" i="3"/>
  <c r="O297" i="3"/>
  <c r="O345" i="3"/>
  <c r="N344" i="3"/>
  <c r="O375" i="3"/>
  <c r="N374" i="3"/>
  <c r="N377" i="3"/>
  <c r="O379" i="3"/>
  <c r="O377" i="3" s="1"/>
  <c r="O385" i="3"/>
  <c r="O384" i="3" s="1"/>
  <c r="O383" i="3" s="1"/>
  <c r="N384" i="3"/>
  <c r="N383" i="3" s="1"/>
  <c r="N390" i="3"/>
  <c r="N389" i="3" s="1"/>
  <c r="O392" i="3"/>
  <c r="O418" i="3"/>
  <c r="O417" i="3" s="1"/>
  <c r="O416" i="3" s="1"/>
  <c r="N417" i="3"/>
  <c r="N416" i="3" s="1"/>
  <c r="O429" i="3"/>
  <c r="O447" i="3"/>
  <c r="O446" i="3" s="1"/>
  <c r="N446" i="3"/>
  <c r="K160" i="3"/>
  <c r="K159" i="3" s="1"/>
  <c r="K158" i="3" s="1"/>
  <c r="K167" i="3"/>
  <c r="K166" i="3" s="1"/>
  <c r="K165" i="3" s="1"/>
  <c r="K200" i="3"/>
  <c r="K199" i="3" s="1"/>
  <c r="K198" i="3" s="1"/>
  <c r="K208" i="3"/>
  <c r="K207" i="3" s="1"/>
  <c r="K206" i="3" s="1"/>
  <c r="K226" i="3"/>
  <c r="K225" i="3" s="1"/>
  <c r="K224" i="3" s="1"/>
  <c r="K244" i="3"/>
  <c r="K275" i="3"/>
  <c r="K277" i="3"/>
  <c r="K288" i="3"/>
  <c r="K287" i="3" s="1"/>
  <c r="O319" i="3"/>
  <c r="O340" i="3"/>
  <c r="O339" i="3" s="1"/>
  <c r="O338" i="3" s="1"/>
  <c r="O337" i="3" s="1"/>
  <c r="N339" i="3"/>
  <c r="N338" i="3" s="1"/>
  <c r="N337" i="3" s="1"/>
  <c r="O366" i="3"/>
  <c r="O365" i="3" s="1"/>
  <c r="N365" i="3"/>
  <c r="O405" i="3"/>
  <c r="O404" i="3" s="1"/>
  <c r="O403" i="3" s="1"/>
  <c r="N404" i="3"/>
  <c r="N403" i="3" s="1"/>
  <c r="O477" i="3"/>
  <c r="O476" i="3" s="1"/>
  <c r="N476" i="3"/>
  <c r="K331" i="3"/>
  <c r="K333" i="3"/>
  <c r="K384" i="3"/>
  <c r="K383" i="3" s="1"/>
  <c r="N400" i="3"/>
  <c r="O400" i="3" s="1"/>
  <c r="K446" i="3"/>
  <c r="N470" i="3"/>
  <c r="Q470" i="3" s="1"/>
  <c r="Q469" i="3" s="1"/>
  <c r="Q468" i="3" s="1"/>
  <c r="Q467" i="3" s="1"/>
  <c r="Q466" i="3" s="1"/>
  <c r="K489" i="3"/>
  <c r="N491" i="3"/>
  <c r="O509" i="3"/>
  <c r="O508" i="3" s="1"/>
  <c r="N508" i="3"/>
  <c r="O530" i="3"/>
  <c r="O529" i="3" s="1"/>
  <c r="N529" i="3"/>
  <c r="O541" i="3"/>
  <c r="O540" i="3" s="1"/>
  <c r="N540" i="3"/>
  <c r="K296" i="3"/>
  <c r="K339" i="3"/>
  <c r="K338" i="3" s="1"/>
  <c r="K337" i="3" s="1"/>
  <c r="K348" i="3"/>
  <c r="K417" i="3"/>
  <c r="K416" i="3" s="1"/>
  <c r="J438" i="3"/>
  <c r="J437" i="3" s="1"/>
  <c r="J431" i="3" s="1"/>
  <c r="K457" i="3"/>
  <c r="K456" i="3" s="1"/>
  <c r="K455" i="3" s="1"/>
  <c r="K494" i="3"/>
  <c r="K493" i="3" s="1"/>
  <c r="O560" i="3"/>
  <c r="O559" i="3" s="1"/>
  <c r="O558" i="3" s="1"/>
  <c r="O557" i="3" s="1"/>
  <c r="N559" i="3"/>
  <c r="N322" i="3"/>
  <c r="N326" i="3"/>
  <c r="N325" i="3" s="1"/>
  <c r="K344" i="3"/>
  <c r="K353" i="3"/>
  <c r="K355" i="3"/>
  <c r="K365" i="3"/>
  <c r="K364" i="3" s="1"/>
  <c r="K363" i="3" s="1"/>
  <c r="K374" i="3"/>
  <c r="K373" i="3" s="1"/>
  <c r="K372" i="3" s="1"/>
  <c r="O532" i="3"/>
  <c r="O531" i="3" s="1"/>
  <c r="N531" i="3"/>
  <c r="N507" i="3"/>
  <c r="T507" i="3" s="1"/>
  <c r="K508" i="3"/>
  <c r="N516" i="3"/>
  <c r="R516" i="3" s="1"/>
  <c r="R513" i="3" s="1"/>
  <c r="R512" i="3" s="1"/>
  <c r="R511" i="3" s="1"/>
  <c r="R502" i="3" s="1"/>
  <c r="K529" i="3"/>
  <c r="K531" i="3"/>
  <c r="N539" i="3"/>
  <c r="R539" i="3" s="1"/>
  <c r="K540" i="3"/>
  <c r="K559" i="3"/>
  <c r="N562" i="3"/>
  <c r="O599" i="3"/>
  <c r="O598" i="3" s="1"/>
  <c r="N598" i="3"/>
  <c r="O609" i="3"/>
  <c r="O608" i="3" s="1"/>
  <c r="N616" i="3"/>
  <c r="Q616" i="3" s="1"/>
  <c r="K615" i="3"/>
  <c r="O649" i="3"/>
  <c r="O648" i="3" s="1"/>
  <c r="N648" i="3"/>
  <c r="O659" i="3"/>
  <c r="O658" i="3" s="1"/>
  <c r="N658" i="3"/>
  <c r="O662" i="3"/>
  <c r="O661" i="3" s="1"/>
  <c r="N661" i="3"/>
  <c r="N568" i="3"/>
  <c r="S568" i="3" s="1"/>
  <c r="S567" i="3" s="1"/>
  <c r="S566" i="3" s="1"/>
  <c r="S565" i="3" s="1"/>
  <c r="K567" i="3"/>
  <c r="K566" i="3" s="1"/>
  <c r="K565" i="3" s="1"/>
  <c r="O633" i="3"/>
  <c r="O632" i="3" s="1"/>
  <c r="N632" i="3"/>
  <c r="O642" i="3"/>
  <c r="O641" i="3" s="1"/>
  <c r="N641" i="3"/>
  <c r="O685" i="3"/>
  <c r="O684" i="3" s="1"/>
  <c r="O683" i="3" s="1"/>
  <c r="O682" i="3" s="1"/>
  <c r="O681" i="3" s="1"/>
  <c r="N684" i="3"/>
  <c r="N683" i="3" s="1"/>
  <c r="N682" i="3" s="1"/>
  <c r="N681" i="3" s="1"/>
  <c r="N575" i="3"/>
  <c r="S575" i="3" s="1"/>
  <c r="K574" i="3"/>
  <c r="K573" i="3" s="1"/>
  <c r="K572" i="3" s="1"/>
  <c r="N594" i="3"/>
  <c r="Q594" i="3" s="1"/>
  <c r="K593" i="3"/>
  <c r="O619" i="3"/>
  <c r="O618" i="3" s="1"/>
  <c r="N618" i="3"/>
  <c r="O628" i="3"/>
  <c r="O627" i="3" s="1"/>
  <c r="N627" i="3"/>
  <c r="O673" i="3"/>
  <c r="O672" i="3" s="1"/>
  <c r="O671" i="3" s="1"/>
  <c r="O670" i="3" s="1"/>
  <c r="O669" i="3" s="1"/>
  <c r="N672" i="3"/>
  <c r="N671" i="3" s="1"/>
  <c r="N670" i="3" s="1"/>
  <c r="N669" i="3" s="1"/>
  <c r="O679" i="3"/>
  <c r="O678" i="3" s="1"/>
  <c r="O677" i="3" s="1"/>
  <c r="O676" i="3" s="1"/>
  <c r="O675" i="3" s="1"/>
  <c r="N678" i="3"/>
  <c r="N677" i="3" s="1"/>
  <c r="N676" i="3" s="1"/>
  <c r="N675" i="3" s="1"/>
  <c r="K598" i="3"/>
  <c r="K632" i="3"/>
  <c r="K658" i="3"/>
  <c r="K678" i="3"/>
  <c r="K677" i="3" s="1"/>
  <c r="K676" i="3" s="1"/>
  <c r="K675" i="3" s="1"/>
  <c r="K586" i="3"/>
  <c r="K588" i="3"/>
  <c r="K608" i="3"/>
  <c r="K621" i="3"/>
  <c r="K641" i="3"/>
  <c r="K637" i="3" s="1"/>
  <c r="K636" i="3" s="1"/>
  <c r="K672" i="3"/>
  <c r="K671" i="3" s="1"/>
  <c r="K670" i="3" s="1"/>
  <c r="K669" i="3" s="1"/>
  <c r="K648" i="3"/>
  <c r="K661" i="3"/>
  <c r="N664" i="3"/>
  <c r="K684" i="3"/>
  <c r="K683" i="3" s="1"/>
  <c r="K682" i="3" s="1"/>
  <c r="K681" i="3" s="1"/>
  <c r="S627" i="3" l="1"/>
  <c r="O665" i="3"/>
  <c r="O664" i="3" s="1"/>
  <c r="Q665" i="3"/>
  <c r="Q664" i="3" s="1"/>
  <c r="Q657" i="3" s="1"/>
  <c r="Q656" i="3" s="1"/>
  <c r="Q655" i="3" s="1"/>
  <c r="S626" i="3"/>
  <c r="S625" i="3" s="1"/>
  <c r="S612" i="3" s="1"/>
  <c r="S579" i="3" s="1"/>
  <c r="O652" i="3"/>
  <c r="O651" i="3" s="1"/>
  <c r="Q652" i="3"/>
  <c r="Q651" i="3" s="1"/>
  <c r="Q647" i="3" s="1"/>
  <c r="Q646" i="3" s="1"/>
  <c r="Q645" i="3" s="1"/>
  <c r="O639" i="3"/>
  <c r="O638" i="3" s="1"/>
  <c r="Q639" i="3"/>
  <c r="Q638" i="3" s="1"/>
  <c r="Q637" i="3" s="1"/>
  <c r="Q636" i="3" s="1"/>
  <c r="Q615" i="3"/>
  <c r="Q614" i="3" s="1"/>
  <c r="Q613" i="3" s="1"/>
  <c r="O606" i="3"/>
  <c r="O605" i="3" s="1"/>
  <c r="Q606" i="3"/>
  <c r="Q605" i="3" s="1"/>
  <c r="Q604" i="3" s="1"/>
  <c r="Q603" i="3" s="1"/>
  <c r="Q602" i="3" s="1"/>
  <c r="Q593" i="3"/>
  <c r="Q592" i="3" s="1"/>
  <c r="Q591" i="3" s="1"/>
  <c r="Q580" i="3" s="1"/>
  <c r="S558" i="3"/>
  <c r="S557" i="3" s="1"/>
  <c r="S574" i="3"/>
  <c r="S573" i="3" s="1"/>
  <c r="S572" i="3" s="1"/>
  <c r="O554" i="3"/>
  <c r="O553" i="3" s="1"/>
  <c r="O552" i="3" s="1"/>
  <c r="O551" i="3" s="1"/>
  <c r="U554" i="3"/>
  <c r="U553" i="3" s="1"/>
  <c r="U552" i="3" s="1"/>
  <c r="U551" i="3" s="1"/>
  <c r="U518" i="3" s="1"/>
  <c r="U472" i="3" s="1"/>
  <c r="I518" i="3"/>
  <c r="Q384" i="3"/>
  <c r="Q383" i="3" s="1"/>
  <c r="S513" i="3"/>
  <c r="S512" i="3" s="1"/>
  <c r="S511" i="3" s="1"/>
  <c r="S502" i="3" s="1"/>
  <c r="O522" i="3"/>
  <c r="O521" i="3" s="1"/>
  <c r="S522" i="3"/>
  <c r="S521" i="3" s="1"/>
  <c r="S520" i="3" s="1"/>
  <c r="S519" i="3" s="1"/>
  <c r="S518" i="3" s="1"/>
  <c r="S472" i="3" s="1"/>
  <c r="N536" i="3"/>
  <c r="N548" i="3"/>
  <c r="T549" i="3"/>
  <c r="T548" i="3" s="1"/>
  <c r="T544" i="3" s="1"/>
  <c r="T543" i="3" s="1"/>
  <c r="T518" i="3" s="1"/>
  <c r="R536" i="3"/>
  <c r="R535" i="3" s="1"/>
  <c r="R534" i="3" s="1"/>
  <c r="R518" i="3" s="1"/>
  <c r="R472" i="3" s="1"/>
  <c r="Q446" i="3"/>
  <c r="O479" i="3"/>
  <c r="O478" i="3" s="1"/>
  <c r="T479" i="3"/>
  <c r="T478" i="3" s="1"/>
  <c r="T475" i="3" s="1"/>
  <c r="T474" i="3" s="1"/>
  <c r="T473" i="3" s="1"/>
  <c r="T505" i="3"/>
  <c r="T504" i="3" s="1"/>
  <c r="T503" i="3" s="1"/>
  <c r="T502" i="3" s="1"/>
  <c r="O441" i="3"/>
  <c r="Q441" i="3"/>
  <c r="Q438" i="3" s="1"/>
  <c r="Q437" i="3" s="1"/>
  <c r="O434" i="3"/>
  <c r="O433" i="3" s="1"/>
  <c r="O432" i="3" s="1"/>
  <c r="Q434" i="3"/>
  <c r="Q433" i="3" s="1"/>
  <c r="Q432" i="3" s="1"/>
  <c r="O453" i="3"/>
  <c r="O452" i="3" s="1"/>
  <c r="Q453" i="3"/>
  <c r="Q452" i="3" s="1"/>
  <c r="Q365" i="3"/>
  <c r="Q373" i="3"/>
  <c r="Q372" i="3" s="1"/>
  <c r="O150" i="3"/>
  <c r="N463" i="3"/>
  <c r="O333" i="3"/>
  <c r="J54" i="3"/>
  <c r="O374" i="3"/>
  <c r="O182" i="3"/>
  <c r="O181" i="3" s="1"/>
  <c r="O180" i="3" s="1"/>
  <c r="O173" i="3"/>
  <c r="N360" i="3"/>
  <c r="N359" i="3" s="1"/>
  <c r="N358" i="3" s="1"/>
  <c r="Q361" i="3"/>
  <c r="Q360" i="3" s="1"/>
  <c r="Q359" i="3" s="1"/>
  <c r="Q358" i="3" s="1"/>
  <c r="N369" i="3"/>
  <c r="Q370" i="3"/>
  <c r="Q369" i="3" s="1"/>
  <c r="Q364" i="3" s="1"/>
  <c r="Q363" i="3" s="1"/>
  <c r="I51" i="3"/>
  <c r="I18" i="3" s="1"/>
  <c r="Q382" i="3"/>
  <c r="O300" i="3"/>
  <c r="O57" i="3"/>
  <c r="O56" i="3" s="1"/>
  <c r="O55" i="3" s="1"/>
  <c r="K504" i="3"/>
  <c r="K503" i="3" s="1"/>
  <c r="J381" i="3"/>
  <c r="O390" i="3"/>
  <c r="O389" i="3" s="1"/>
  <c r="O309" i="3"/>
  <c r="O272" i="3"/>
  <c r="O167" i="3"/>
  <c r="O166" i="3" s="1"/>
  <c r="O165" i="3" s="1"/>
  <c r="I54" i="3"/>
  <c r="I381" i="3"/>
  <c r="J51" i="3"/>
  <c r="I443" i="3"/>
  <c r="I257" i="3"/>
  <c r="J157" i="3"/>
  <c r="O236" i="3"/>
  <c r="Q322" i="3"/>
  <c r="N352" i="3"/>
  <c r="N351" i="3" s="1"/>
  <c r="Q300" i="3"/>
  <c r="Q296" i="3"/>
  <c r="O352" i="3"/>
  <c r="O351" i="3" s="1"/>
  <c r="Q344" i="3"/>
  <c r="Q343" i="3" s="1"/>
  <c r="Q342" i="3" s="1"/>
  <c r="O63" i="3"/>
  <c r="O62" i="3" s="1"/>
  <c r="O61" i="3" s="1"/>
  <c r="O344" i="3"/>
  <c r="O208" i="3"/>
  <c r="O207" i="3" s="1"/>
  <c r="O206" i="3" s="1"/>
  <c r="O263" i="3"/>
  <c r="K116" i="3"/>
  <c r="O296" i="3"/>
  <c r="O69" i="3"/>
  <c r="O68" i="3" s="1"/>
  <c r="O67" i="3" s="1"/>
  <c r="O313" i="3"/>
  <c r="O312" i="3" s="1"/>
  <c r="Q313" i="3"/>
  <c r="Q312" i="3" s="1"/>
  <c r="Q308" i="3" s="1"/>
  <c r="Q307" i="3" s="1"/>
  <c r="O321" i="3"/>
  <c r="Q321" i="3"/>
  <c r="Q318" i="3" s="1"/>
  <c r="Q317" i="3" s="1"/>
  <c r="Q316" i="3" s="1"/>
  <c r="O283" i="3"/>
  <c r="O282" i="3" s="1"/>
  <c r="O281" i="3" s="1"/>
  <c r="Q283" i="3"/>
  <c r="Q282" i="3" s="1"/>
  <c r="Q281" i="3" s="1"/>
  <c r="O291" i="3"/>
  <c r="Q291" i="3"/>
  <c r="Q288" i="3" s="1"/>
  <c r="Q287" i="3" s="1"/>
  <c r="J580" i="3"/>
  <c r="O250" i="3"/>
  <c r="O249" i="3" s="1"/>
  <c r="S250" i="3"/>
  <c r="S249" i="3" s="1"/>
  <c r="O254" i="3"/>
  <c r="O253" i="3" s="1"/>
  <c r="S254" i="3"/>
  <c r="S253" i="3" s="1"/>
  <c r="O252" i="3"/>
  <c r="O251" i="3" s="1"/>
  <c r="S252" i="3"/>
  <c r="S251" i="3" s="1"/>
  <c r="U214" i="3"/>
  <c r="U237" i="3"/>
  <c r="U236" i="3" s="1"/>
  <c r="O235" i="3"/>
  <c r="O232" i="3" s="1"/>
  <c r="U235" i="3"/>
  <c r="U232" i="3" s="1"/>
  <c r="S160" i="3"/>
  <c r="S159" i="3" s="1"/>
  <c r="S158" i="3" s="1"/>
  <c r="S157" i="3" s="1"/>
  <c r="O204" i="3"/>
  <c r="O203" i="3" s="1"/>
  <c r="O202" i="3" s="1"/>
  <c r="O198" i="3" s="1"/>
  <c r="R204" i="3"/>
  <c r="R203" i="3" s="1"/>
  <c r="R202" i="3" s="1"/>
  <c r="R198" i="3" s="1"/>
  <c r="R157" i="3" s="1"/>
  <c r="T150" i="3"/>
  <c r="Q173" i="3"/>
  <c r="Q172" i="3" s="1"/>
  <c r="Q171" i="3" s="1"/>
  <c r="Q157" i="3" s="1"/>
  <c r="U134" i="3"/>
  <c r="U133" i="3" s="1"/>
  <c r="U132" i="3" s="1"/>
  <c r="N154" i="3"/>
  <c r="N149" i="3" s="1"/>
  <c r="N148" i="3" s="1"/>
  <c r="T155" i="3"/>
  <c r="T154" i="3" s="1"/>
  <c r="T149" i="3" s="1"/>
  <c r="T148" i="3" s="1"/>
  <c r="T132" i="3" s="1"/>
  <c r="S143" i="3"/>
  <c r="S142" i="3" s="1"/>
  <c r="S141" i="3" s="1"/>
  <c r="S132" i="3" s="1"/>
  <c r="N124" i="3"/>
  <c r="N123" i="3" s="1"/>
  <c r="N122" i="3" s="1"/>
  <c r="N116" i="3" s="1"/>
  <c r="S125" i="3"/>
  <c r="S124" i="3" s="1"/>
  <c r="S123" i="3" s="1"/>
  <c r="S122" i="3" s="1"/>
  <c r="S116" i="3" s="1"/>
  <c r="Q51" i="3"/>
  <c r="Q18" i="3" s="1"/>
  <c r="O104" i="3"/>
  <c r="U104" i="3"/>
  <c r="U101" i="3" s="1"/>
  <c r="U100" i="3" s="1"/>
  <c r="U99" i="3" s="1"/>
  <c r="U54" i="3" s="1"/>
  <c r="N111" i="3"/>
  <c r="N110" i="3" s="1"/>
  <c r="N109" i="3" s="1"/>
  <c r="T112" i="3"/>
  <c r="T111" i="3" s="1"/>
  <c r="T110" i="3" s="1"/>
  <c r="T109" i="3" s="1"/>
  <c r="I157" i="3"/>
  <c r="I612" i="3"/>
  <c r="J257" i="3"/>
  <c r="O84" i="3"/>
  <c r="S85" i="3"/>
  <c r="S84" i="3" s="1"/>
  <c r="O81" i="3"/>
  <c r="O77" i="3" s="1"/>
  <c r="R81" i="3"/>
  <c r="R77" i="3" s="1"/>
  <c r="U24" i="3"/>
  <c r="R69" i="3"/>
  <c r="R68" i="3" s="1"/>
  <c r="R67" i="3" s="1"/>
  <c r="O83" i="3"/>
  <c r="R83" i="3" s="1"/>
  <c r="R82" i="3" s="1"/>
  <c r="Q87" i="3"/>
  <c r="Q76" i="3" s="1"/>
  <c r="Q75" i="3" s="1"/>
  <c r="Q54" i="3" s="1"/>
  <c r="T90" i="3"/>
  <c r="T87" i="3" s="1"/>
  <c r="T76" i="3" s="1"/>
  <c r="T75" i="3" s="1"/>
  <c r="O87" i="3"/>
  <c r="S89" i="3"/>
  <c r="S87" i="3" s="1"/>
  <c r="J293" i="3"/>
  <c r="O47" i="3"/>
  <c r="O46" i="3" s="1"/>
  <c r="S47" i="3"/>
  <c r="S46" i="3" s="1"/>
  <c r="S42" i="3" s="1"/>
  <c r="S51" i="3" s="1"/>
  <c r="S18" i="3" s="1"/>
  <c r="N20" i="3"/>
  <c r="N19" i="3" s="1"/>
  <c r="U21" i="3"/>
  <c r="U20" i="3" s="1"/>
  <c r="T51" i="3"/>
  <c r="T18" i="3" s="1"/>
  <c r="O101" i="3"/>
  <c r="O100" i="3" s="1"/>
  <c r="O99" i="3" s="1"/>
  <c r="N101" i="3"/>
  <c r="N100" i="3" s="1"/>
  <c r="N99" i="3" s="1"/>
  <c r="O318" i="3"/>
  <c r="O317" i="3" s="1"/>
  <c r="O316" i="3" s="1"/>
  <c r="O112" i="3"/>
  <c r="O111" i="3" s="1"/>
  <c r="O110" i="3" s="1"/>
  <c r="O109" i="3" s="1"/>
  <c r="N423" i="3"/>
  <c r="N422" i="3" s="1"/>
  <c r="O438" i="3"/>
  <c r="O437" i="3" s="1"/>
  <c r="O431" i="3" s="1"/>
  <c r="N452" i="3"/>
  <c r="N438" i="3"/>
  <c r="N437" i="3" s="1"/>
  <c r="N82" i="3"/>
  <c r="N77" i="3"/>
  <c r="N445" i="3"/>
  <c r="N444" i="3" s="1"/>
  <c r="J579" i="3"/>
  <c r="I293" i="3"/>
  <c r="J132" i="3"/>
  <c r="I229" i="3"/>
  <c r="J229" i="3"/>
  <c r="I580" i="3"/>
  <c r="I472" i="3"/>
  <c r="N249" i="3"/>
  <c r="K647" i="3"/>
  <c r="K646" i="3" s="1"/>
  <c r="K645" i="3" s="1"/>
  <c r="K483" i="3"/>
  <c r="K482" i="3" s="1"/>
  <c r="K481" i="3" s="1"/>
  <c r="N411" i="3"/>
  <c r="N410" i="3" s="1"/>
  <c r="N409" i="3" s="1"/>
  <c r="N282" i="3"/>
  <c r="N281" i="3" s="1"/>
  <c r="O445" i="3"/>
  <c r="O444" i="3" s="1"/>
  <c r="O423" i="3"/>
  <c r="O422" i="3" s="1"/>
  <c r="N232" i="3"/>
  <c r="N231" i="3" s="1"/>
  <c r="N230" i="3" s="1"/>
  <c r="N84" i="3"/>
  <c r="K19" i="3"/>
  <c r="N553" i="3"/>
  <c r="N552" i="3" s="1"/>
  <c r="N551" i="3" s="1"/>
  <c r="K535" i="3"/>
  <c r="K534" i="3" s="1"/>
  <c r="N521" i="3"/>
  <c r="N478" i="3"/>
  <c r="N475" i="3" s="1"/>
  <c r="N474" i="3" s="1"/>
  <c r="N473" i="3" s="1"/>
  <c r="N260" i="3"/>
  <c r="N259" i="3" s="1"/>
  <c r="N258" i="3" s="1"/>
  <c r="N288" i="3"/>
  <c r="N287" i="3" s="1"/>
  <c r="K100" i="3"/>
  <c r="K99" i="3" s="1"/>
  <c r="N364" i="3"/>
  <c r="N363" i="3" s="1"/>
  <c r="K626" i="3"/>
  <c r="K625" i="3" s="1"/>
  <c r="N433" i="3"/>
  <c r="N432" i="3" s="1"/>
  <c r="N253" i="3"/>
  <c r="N248" i="3" s="1"/>
  <c r="N247" i="3" s="1"/>
  <c r="O288" i="3"/>
  <c r="O287" i="3" s="1"/>
  <c r="O280" i="3" s="1"/>
  <c r="N461" i="3"/>
  <c r="N456" i="3" s="1"/>
  <c r="N455" i="3" s="1"/>
  <c r="N46" i="3"/>
  <c r="K409" i="3"/>
  <c r="K445" i="3"/>
  <c r="K444" i="3" s="1"/>
  <c r="O343" i="3"/>
  <c r="O342" i="3" s="1"/>
  <c r="K558" i="3"/>
  <c r="K557" i="3" s="1"/>
  <c r="K280" i="3"/>
  <c r="O456" i="3"/>
  <c r="O455" i="3" s="1"/>
  <c r="O125" i="3"/>
  <c r="O124" i="3" s="1"/>
  <c r="O123" i="3" s="1"/>
  <c r="O122" i="3" s="1"/>
  <c r="O116" i="3" s="1"/>
  <c r="N638" i="3"/>
  <c r="N637" i="3" s="1"/>
  <c r="N636" i="3" s="1"/>
  <c r="O21" i="3"/>
  <c r="O20" i="3" s="1"/>
  <c r="O19" i="3" s="1"/>
  <c r="K421" i="3"/>
  <c r="O370" i="3"/>
  <c r="O369" i="3" s="1"/>
  <c r="O364" i="3" s="1"/>
  <c r="O363" i="3" s="1"/>
  <c r="N343" i="3"/>
  <c r="N342" i="3" s="1"/>
  <c r="O155" i="3"/>
  <c r="O154" i="3" s="1"/>
  <c r="O149" i="3" s="1"/>
  <c r="O148" i="3" s="1"/>
  <c r="O488" i="3"/>
  <c r="O487" i="3" s="1"/>
  <c r="N626" i="3"/>
  <c r="N625" i="3" s="1"/>
  <c r="O308" i="3"/>
  <c r="O307" i="3" s="1"/>
  <c r="O498" i="3"/>
  <c r="O497" i="3" s="1"/>
  <c r="K431" i="3"/>
  <c r="J472" i="3"/>
  <c r="K308" i="3"/>
  <c r="K307" i="3" s="1"/>
  <c r="N544" i="3"/>
  <c r="N543" i="3" s="1"/>
  <c r="O549" i="3"/>
  <c r="O548" i="3" s="1"/>
  <c r="O544" i="3" s="1"/>
  <c r="O543" i="3" s="1"/>
  <c r="O248" i="3"/>
  <c r="O247" i="3" s="1"/>
  <c r="N651" i="3"/>
  <c r="N647" i="3" s="1"/>
  <c r="N646" i="3" s="1"/>
  <c r="N645" i="3" s="1"/>
  <c r="N605" i="3"/>
  <c r="N604" i="3" s="1"/>
  <c r="N603" i="3" s="1"/>
  <c r="N602" i="3" s="1"/>
  <c r="K502" i="3"/>
  <c r="N427" i="3"/>
  <c r="N426" i="3" s="1"/>
  <c r="O647" i="3"/>
  <c r="O646" i="3" s="1"/>
  <c r="O645" i="3" s="1"/>
  <c r="K295" i="3"/>
  <c r="K294" i="3" s="1"/>
  <c r="K213" i="3"/>
  <c r="K212" i="3" s="1"/>
  <c r="K604" i="3"/>
  <c r="K603" i="3" s="1"/>
  <c r="K602" i="3" s="1"/>
  <c r="K382" i="3"/>
  <c r="O427" i="3"/>
  <c r="O426" i="3" s="1"/>
  <c r="N330" i="3"/>
  <c r="N329" i="3" s="1"/>
  <c r="K42" i="3"/>
  <c r="K317" i="3"/>
  <c r="K316" i="3" s="1"/>
  <c r="O361" i="3"/>
  <c r="O360" i="3" s="1"/>
  <c r="O359" i="3" s="1"/>
  <c r="O358" i="3" s="1"/>
  <c r="N499" i="3"/>
  <c r="O500" i="3"/>
  <c r="O499" i="3" s="1"/>
  <c r="K582" i="3"/>
  <c r="K581" i="3" s="1"/>
  <c r="O668" i="3"/>
  <c r="K343" i="3"/>
  <c r="K342" i="3" s="1"/>
  <c r="N382" i="3"/>
  <c r="N373" i="3"/>
  <c r="N372" i="3" s="1"/>
  <c r="N295" i="3"/>
  <c r="N294" i="3" s="1"/>
  <c r="O259" i="3"/>
  <c r="O258" i="3" s="1"/>
  <c r="O271" i="3"/>
  <c r="O270" i="3" s="1"/>
  <c r="O604" i="3"/>
  <c r="O603" i="3" s="1"/>
  <c r="O602" i="3" s="1"/>
  <c r="K396" i="3"/>
  <c r="N203" i="3"/>
  <c r="N202" i="3" s="1"/>
  <c r="N198" i="3" s="1"/>
  <c r="O637" i="3"/>
  <c r="O636" i="3" s="1"/>
  <c r="K528" i="3"/>
  <c r="K527" i="3" s="1"/>
  <c r="O330" i="3"/>
  <c r="O329" i="3" s="1"/>
  <c r="N668" i="3"/>
  <c r="O626" i="3"/>
  <c r="O625" i="3" s="1"/>
  <c r="O295" i="3"/>
  <c r="O294" i="3" s="1"/>
  <c r="N308" i="3"/>
  <c r="N307" i="3" s="1"/>
  <c r="N524" i="3"/>
  <c r="O525" i="3"/>
  <c r="O524" i="3" s="1"/>
  <c r="O520" i="3" s="1"/>
  <c r="O519" i="3" s="1"/>
  <c r="O222" i="3"/>
  <c r="O221" i="3" s="1"/>
  <c r="O213" i="3" s="1"/>
  <c r="O212" i="3" s="1"/>
  <c r="N221" i="3"/>
  <c r="N49" i="3"/>
  <c r="O50" i="3"/>
  <c r="O49" i="3" s="1"/>
  <c r="O42" i="3" s="1"/>
  <c r="N583" i="3"/>
  <c r="N582" i="3" s="1"/>
  <c r="N581" i="3" s="1"/>
  <c r="O584" i="3"/>
  <c r="O583" i="3" s="1"/>
  <c r="O582" i="3" s="1"/>
  <c r="O581" i="3" s="1"/>
  <c r="O496" i="3"/>
  <c r="O495" i="3" s="1"/>
  <c r="N495" i="3"/>
  <c r="K259" i="3"/>
  <c r="K258" i="3" s="1"/>
  <c r="O485" i="3"/>
  <c r="O484" i="3" s="1"/>
  <c r="N484" i="3"/>
  <c r="K592" i="3"/>
  <c r="K591" i="3" s="1"/>
  <c r="O616" i="3"/>
  <c r="O615" i="3" s="1"/>
  <c r="O614" i="3" s="1"/>
  <c r="O613" i="3" s="1"/>
  <c r="N615" i="3"/>
  <c r="N614" i="3" s="1"/>
  <c r="N613" i="3" s="1"/>
  <c r="N535" i="3"/>
  <c r="N534" i="3" s="1"/>
  <c r="O539" i="3"/>
  <c r="O536" i="3" s="1"/>
  <c r="O535" i="3" s="1"/>
  <c r="O534" i="3" s="1"/>
  <c r="N513" i="3"/>
  <c r="N512" i="3" s="1"/>
  <c r="N511" i="3" s="1"/>
  <c r="O516" i="3"/>
  <c r="O513" i="3" s="1"/>
  <c r="O512" i="3" s="1"/>
  <c r="O511" i="3" s="1"/>
  <c r="K443" i="3"/>
  <c r="K172" i="3"/>
  <c r="K171" i="3" s="1"/>
  <c r="K29" i="3"/>
  <c r="I256" i="3"/>
  <c r="O29" i="3"/>
  <c r="O594" i="3"/>
  <c r="O593" i="3" s="1"/>
  <c r="O592" i="3" s="1"/>
  <c r="O591" i="3" s="1"/>
  <c r="N593" i="3"/>
  <c r="N592" i="3" s="1"/>
  <c r="N591" i="3" s="1"/>
  <c r="O470" i="3"/>
  <c r="O469" i="3" s="1"/>
  <c r="O468" i="3" s="1"/>
  <c r="O467" i="3" s="1"/>
  <c r="O466" i="3" s="1"/>
  <c r="N469" i="3"/>
  <c r="N468" i="3" s="1"/>
  <c r="N467" i="3" s="1"/>
  <c r="N466" i="3" s="1"/>
  <c r="O475" i="3"/>
  <c r="O474" i="3" s="1"/>
  <c r="O473" i="3" s="1"/>
  <c r="K231" i="3"/>
  <c r="K230" i="3" s="1"/>
  <c r="K229" i="3" s="1"/>
  <c r="O409" i="3"/>
  <c r="N271" i="3"/>
  <c r="N270" i="3" s="1"/>
  <c r="N172" i="3"/>
  <c r="N171" i="3" s="1"/>
  <c r="K657" i="3"/>
  <c r="K656" i="3" s="1"/>
  <c r="K655" i="3" s="1"/>
  <c r="N657" i="3"/>
  <c r="N656" i="3" s="1"/>
  <c r="N655" i="3" s="1"/>
  <c r="N505" i="3"/>
  <c r="N504" i="3" s="1"/>
  <c r="N503" i="3" s="1"/>
  <c r="O507" i="3"/>
  <c r="O505" i="3" s="1"/>
  <c r="O504" i="3" s="1"/>
  <c r="O503" i="3" s="1"/>
  <c r="K352" i="3"/>
  <c r="K351" i="3" s="1"/>
  <c r="N528" i="3"/>
  <c r="N527" i="3" s="1"/>
  <c r="K330" i="3"/>
  <c r="K329" i="3" s="1"/>
  <c r="O382" i="3"/>
  <c r="O373" i="3"/>
  <c r="O372" i="3" s="1"/>
  <c r="N398" i="3"/>
  <c r="N397" i="3" s="1"/>
  <c r="N396" i="3" s="1"/>
  <c r="K271" i="3"/>
  <c r="K270" i="3" s="1"/>
  <c r="N135" i="3"/>
  <c r="O136" i="3"/>
  <c r="O135" i="3" s="1"/>
  <c r="O172" i="3"/>
  <c r="O171" i="3" s="1"/>
  <c r="N138" i="3"/>
  <c r="O139" i="3"/>
  <c r="O138" i="3" s="1"/>
  <c r="K668" i="3"/>
  <c r="O575" i="3"/>
  <c r="O574" i="3" s="1"/>
  <c r="O573" i="3" s="1"/>
  <c r="O572" i="3" s="1"/>
  <c r="N574" i="3"/>
  <c r="N573" i="3" s="1"/>
  <c r="N572" i="3" s="1"/>
  <c r="O568" i="3"/>
  <c r="O567" i="3" s="1"/>
  <c r="O566" i="3" s="1"/>
  <c r="O565" i="3" s="1"/>
  <c r="N567" i="3"/>
  <c r="N566" i="3" s="1"/>
  <c r="N565" i="3" s="1"/>
  <c r="O657" i="3"/>
  <c r="O656" i="3" s="1"/>
  <c r="O655" i="3" s="1"/>
  <c r="K614" i="3"/>
  <c r="K613" i="3" s="1"/>
  <c r="N558" i="3"/>
  <c r="N557" i="3" s="1"/>
  <c r="O528" i="3"/>
  <c r="O527" i="3" s="1"/>
  <c r="O491" i="3"/>
  <c r="O489" i="3" s="1"/>
  <c r="N489" i="3"/>
  <c r="N317" i="3"/>
  <c r="N316" i="3" s="1"/>
  <c r="O398" i="3"/>
  <c r="O397" i="3" s="1"/>
  <c r="O396" i="3" s="1"/>
  <c r="K76" i="3"/>
  <c r="K75" i="3" s="1"/>
  <c r="K54" i="3" s="1"/>
  <c r="K132" i="3"/>
  <c r="N29" i="3"/>
  <c r="N443" i="3" l="1"/>
  <c r="Q612" i="3"/>
  <c r="Q579" i="3" s="1"/>
  <c r="N431" i="3"/>
  <c r="Q445" i="3"/>
  <c r="Q444" i="3" s="1"/>
  <c r="Q443" i="3" s="1"/>
  <c r="T472" i="3"/>
  <c r="N520" i="3"/>
  <c r="N519" i="3" s="1"/>
  <c r="N518" i="3" s="1"/>
  <c r="Q431" i="3"/>
  <c r="Q381" i="3" s="1"/>
  <c r="O231" i="3"/>
  <c r="O230" i="3" s="1"/>
  <c r="O229" i="3" s="1"/>
  <c r="Q295" i="3"/>
  <c r="Q294" i="3" s="1"/>
  <c r="Q293" i="3" s="1"/>
  <c r="U19" i="3"/>
  <c r="U51" i="3" s="1"/>
  <c r="U18" i="3" s="1"/>
  <c r="I579" i="3"/>
  <c r="Q280" i="3"/>
  <c r="Q257" i="3" s="1"/>
  <c r="U231" i="3"/>
  <c r="U230" i="3" s="1"/>
  <c r="U229" i="3" s="1"/>
  <c r="S248" i="3"/>
  <c r="S247" i="3" s="1"/>
  <c r="S229" i="3" s="1"/>
  <c r="N280" i="3"/>
  <c r="N257" i="3" s="1"/>
  <c r="N213" i="3"/>
  <c r="N212" i="3" s="1"/>
  <c r="N157" i="3" s="1"/>
  <c r="U221" i="3"/>
  <c r="U213" i="3" s="1"/>
  <c r="U212" i="3" s="1"/>
  <c r="U157" i="3" s="1"/>
  <c r="U53" i="3" s="1"/>
  <c r="U686" i="3" s="1"/>
  <c r="U52" i="3" s="1"/>
  <c r="I53" i="3"/>
  <c r="I686" i="3" s="1"/>
  <c r="I52" i="3" s="1"/>
  <c r="K612" i="3"/>
  <c r="Q53" i="3"/>
  <c r="R76" i="3"/>
  <c r="R75" i="3" s="1"/>
  <c r="R54" i="3" s="1"/>
  <c r="R53" i="3" s="1"/>
  <c r="R686" i="3" s="1"/>
  <c r="R52" i="3" s="1"/>
  <c r="J256" i="3"/>
  <c r="T54" i="3"/>
  <c r="T53" i="3" s="1"/>
  <c r="T686" i="3" s="1"/>
  <c r="T52" i="3" s="1"/>
  <c r="O82" i="3"/>
  <c r="O76" i="3" s="1"/>
  <c r="O75" i="3" s="1"/>
  <c r="O54" i="3" s="1"/>
  <c r="S83" i="3"/>
  <c r="S82" i="3" s="1"/>
  <c r="S76" i="3" s="1"/>
  <c r="S75" i="3" s="1"/>
  <c r="S54" i="3" s="1"/>
  <c r="K51" i="3"/>
  <c r="N76" i="3"/>
  <c r="N75" i="3" s="1"/>
  <c r="N54" i="3" s="1"/>
  <c r="N421" i="3"/>
  <c r="N381" i="3" s="1"/>
  <c r="K257" i="3"/>
  <c r="O494" i="3"/>
  <c r="O493" i="3" s="1"/>
  <c r="N42" i="3"/>
  <c r="N51" i="3" s="1"/>
  <c r="K518" i="3"/>
  <c r="K472" i="3" s="1"/>
  <c r="O443" i="3"/>
  <c r="O502" i="3"/>
  <c r="J53" i="3"/>
  <c r="O580" i="3"/>
  <c r="O421" i="3"/>
  <c r="O381" i="3" s="1"/>
  <c r="N483" i="3"/>
  <c r="N482" i="3" s="1"/>
  <c r="O483" i="3"/>
  <c r="O482" i="3" s="1"/>
  <c r="N612" i="3"/>
  <c r="N580" i="3"/>
  <c r="O293" i="3"/>
  <c r="O157" i="3"/>
  <c r="N502" i="3"/>
  <c r="K580" i="3"/>
  <c r="O257" i="3"/>
  <c r="N293" i="3"/>
  <c r="K157" i="3"/>
  <c r="K53" i="3" s="1"/>
  <c r="N494" i="3"/>
  <c r="N493" i="3" s="1"/>
  <c r="K381" i="3"/>
  <c r="K293" i="3"/>
  <c r="O612" i="3"/>
  <c r="O134" i="3"/>
  <c r="O133" i="3" s="1"/>
  <c r="O132" i="3" s="1"/>
  <c r="O51" i="3"/>
  <c r="O18" i="3" s="1"/>
  <c r="N134" i="3"/>
  <c r="N133" i="3" s="1"/>
  <c r="N132" i="3" s="1"/>
  <c r="N229" i="3"/>
  <c r="O518" i="3"/>
  <c r="K579" i="3" l="1"/>
  <c r="Q256" i="3"/>
  <c r="Q686" i="3" s="1"/>
  <c r="S53" i="3"/>
  <c r="S686" i="3" s="1"/>
  <c r="J686" i="3"/>
  <c r="W51" i="3"/>
  <c r="N18" i="3"/>
  <c r="O579" i="3"/>
  <c r="O481" i="3"/>
  <c r="O472" i="3" s="1"/>
  <c r="N481" i="3"/>
  <c r="N472" i="3" s="1"/>
  <c r="O256" i="3"/>
  <c r="N579" i="3"/>
  <c r="N256" i="3"/>
  <c r="O53" i="3"/>
  <c r="K256" i="3"/>
  <c r="N53" i="3"/>
  <c r="Q52" i="3" l="1"/>
  <c r="Q687" i="3"/>
  <c r="Q696" i="3" s="1"/>
  <c r="S52" i="3"/>
  <c r="S687" i="3"/>
  <c r="S696" i="3" s="1"/>
  <c r="K686" i="3"/>
  <c r="O686" i="3"/>
  <c r="O52" i="3" s="1"/>
  <c r="N686" i="3"/>
  <c r="N52" i="3" s="1"/>
  <c r="G27" i="4" l="1"/>
  <c r="G24" i="4"/>
  <c r="G22" i="4"/>
  <c r="G21" i="4"/>
  <c r="G20" i="4" l="1"/>
  <c r="G19" i="4"/>
  <c r="G26" i="4"/>
  <c r="H18" i="2"/>
  <c r="H25" i="2" s="1"/>
  <c r="F17" i="1"/>
  <c r="F83" i="2" l="1"/>
  <c r="F196" i="2"/>
  <c r="F194" i="2"/>
  <c r="F189" i="2"/>
  <c r="D189" i="2"/>
  <c r="D188" i="2"/>
  <c r="F188" i="2"/>
  <c r="F187" i="2"/>
  <c r="F186" i="2"/>
  <c r="D183" i="2"/>
  <c r="D185" i="2"/>
  <c r="F185" i="2"/>
  <c r="F183" i="2"/>
  <c r="F182" i="2"/>
  <c r="D182" i="2"/>
  <c r="F287" i="2" l="1"/>
  <c r="N207" i="5" s="1"/>
  <c r="D164" i="2"/>
  <c r="F164" i="2"/>
  <c r="F157" i="2"/>
  <c r="F150" i="2"/>
  <c r="F144" i="2"/>
  <c r="F143" i="2"/>
  <c r="F137" i="2"/>
  <c r="F136" i="2"/>
  <c r="K289" i="2" l="1"/>
  <c r="F135" i="2"/>
  <c r="F87" i="2"/>
  <c r="D54" i="2"/>
  <c r="H125" i="2"/>
  <c r="D43" i="2"/>
  <c r="D47" i="2" s="1"/>
  <c r="F44" i="2"/>
  <c r="H44" i="2" s="1"/>
  <c r="F45" i="2"/>
  <c r="H45" i="2" s="1"/>
  <c r="F46" i="2"/>
  <c r="H46" i="2" s="1"/>
  <c r="D200" i="2"/>
  <c r="D197" i="2"/>
  <c r="D196" i="2"/>
  <c r="D194" i="2"/>
  <c r="D186" i="2"/>
  <c r="D187" i="2"/>
  <c r="F166" i="2" l="1"/>
  <c r="D166" i="2"/>
  <c r="J164" i="2"/>
  <c r="H164" i="2"/>
  <c r="H166" i="2" s="1"/>
  <c r="D157" i="2" l="1"/>
  <c r="D150" i="2"/>
  <c r="D144" i="2"/>
  <c r="D143" i="2"/>
  <c r="D137" i="2"/>
  <c r="D136" i="2"/>
  <c r="D135" i="2"/>
  <c r="F120" i="2"/>
  <c r="D303" i="2" l="1"/>
  <c r="K302" i="2"/>
  <c r="H302" i="2"/>
  <c r="H303" i="2" s="1"/>
  <c r="F30" i="1"/>
  <c r="F303" i="2" l="1"/>
  <c r="J157" i="2" l="1"/>
  <c r="J197" i="2"/>
  <c r="J196" i="2"/>
  <c r="J194" i="2"/>
  <c r="K189" i="2"/>
  <c r="K188" i="2"/>
  <c r="K187" i="2"/>
  <c r="K183" i="2"/>
  <c r="L184" i="2"/>
  <c r="K186" i="2"/>
  <c r="K185" i="2"/>
  <c r="K182" i="2"/>
  <c r="J189" i="2"/>
  <c r="L189" i="2" s="1"/>
  <c r="J188" i="2"/>
  <c r="L188" i="2" l="1"/>
  <c r="J187" i="2"/>
  <c r="L187" i="2" s="1"/>
  <c r="F43" i="2"/>
  <c r="F42" i="2"/>
  <c r="J186" i="2"/>
  <c r="L186" i="2" s="1"/>
  <c r="J185" i="2"/>
  <c r="L185" i="2" s="1"/>
  <c r="J183" i="2"/>
  <c r="L183" i="2" s="1"/>
  <c r="J182" i="2"/>
  <c r="L182" i="2" s="1"/>
  <c r="H195" i="2"/>
  <c r="H198" i="2"/>
  <c r="H199" i="2"/>
  <c r="H200" i="2"/>
  <c r="H201" i="2"/>
  <c r="H282" i="2"/>
  <c r="H196" i="2"/>
  <c r="H184" i="2"/>
  <c r="H183" i="2"/>
  <c r="H188" i="2"/>
  <c r="H186" i="2"/>
  <c r="H185" i="2"/>
  <c r="H182" i="2"/>
  <c r="G22" i="1"/>
  <c r="H144" i="2" l="1"/>
  <c r="H187" i="2"/>
  <c r="M183" i="2"/>
  <c r="H194" i="2"/>
  <c r="H189" i="2"/>
  <c r="H143" i="2"/>
  <c r="H197" i="2"/>
  <c r="H102" i="2"/>
  <c r="F102" i="2"/>
  <c r="D102" i="2"/>
  <c r="F32" i="1" l="1"/>
  <c r="E32" i="1"/>
  <c r="G31" i="1"/>
  <c r="G30" i="1"/>
  <c r="F26" i="1"/>
  <c r="E26" i="1"/>
  <c r="G23" i="1"/>
  <c r="G24" i="1"/>
  <c r="G21" i="1"/>
  <c r="G11" i="1"/>
  <c r="G12" i="1"/>
  <c r="G13" i="1"/>
  <c r="G14" i="1"/>
  <c r="G15" i="1"/>
  <c r="G16" i="1"/>
  <c r="G9" i="1"/>
  <c r="F10" i="1"/>
  <c r="F27" i="1" s="1"/>
  <c r="F33" i="1" s="1"/>
  <c r="E10" i="1"/>
  <c r="G26" i="1" l="1"/>
  <c r="G10" i="1"/>
  <c r="G17" i="1" s="1"/>
  <c r="G32" i="1"/>
  <c r="E17" i="1"/>
  <c r="E27" i="1" s="1"/>
  <c r="E33" i="1" s="1"/>
  <c r="G33" i="1" l="1"/>
  <c r="F297" i="2" l="1"/>
  <c r="D297" i="2"/>
  <c r="H296" i="2"/>
  <c r="H297" i="2" s="1"/>
  <c r="K296" i="2"/>
  <c r="D287" i="2"/>
  <c r="H283" i="2"/>
  <c r="H284" i="2"/>
  <c r="H286" i="2"/>
  <c r="H281" i="2"/>
  <c r="J284" i="2"/>
  <c r="K283" i="2"/>
  <c r="J282" i="2"/>
  <c r="F145" i="2"/>
  <c r="D145" i="2"/>
  <c r="H145" i="2"/>
  <c r="K142" i="2" s="1"/>
  <c r="F138" i="2"/>
  <c r="D138" i="2"/>
  <c r="H137" i="2"/>
  <c r="H136" i="2"/>
  <c r="H135" i="2"/>
  <c r="F159" i="2"/>
  <c r="D159" i="2"/>
  <c r="H157" i="2"/>
  <c r="H159" i="2" s="1"/>
  <c r="F152" i="2"/>
  <c r="D152" i="2"/>
  <c r="H151" i="2"/>
  <c r="H150" i="2"/>
  <c r="F190" i="2"/>
  <c r="D190" i="2"/>
  <c r="F180" i="2"/>
  <c r="D180" i="2"/>
  <c r="F202" i="2"/>
  <c r="D202" i="2"/>
  <c r="H193" i="2"/>
  <c r="H178" i="2"/>
  <c r="H177" i="2"/>
  <c r="H176" i="2"/>
  <c r="F276" i="2"/>
  <c r="D276" i="2"/>
  <c r="H275" i="2"/>
  <c r="H274" i="2"/>
  <c r="F272" i="2"/>
  <c r="D272" i="2"/>
  <c r="H270" i="2"/>
  <c r="H271" i="2"/>
  <c r="H269" i="2"/>
  <c r="F258" i="2"/>
  <c r="D258" i="2"/>
  <c r="H257" i="2"/>
  <c r="H256" i="2"/>
  <c r="F252" i="2"/>
  <c r="D252" i="2"/>
  <c r="H250" i="2"/>
  <c r="H251" i="2"/>
  <c r="H249" i="2"/>
  <c r="F245" i="2"/>
  <c r="D245" i="2"/>
  <c r="H239" i="2"/>
  <c r="H240" i="2"/>
  <c r="H241" i="2"/>
  <c r="H242" i="2"/>
  <c r="H243" i="2"/>
  <c r="H244" i="2"/>
  <c r="H238" i="2"/>
  <c r="F235" i="2"/>
  <c r="D235" i="2"/>
  <c r="H232" i="2"/>
  <c r="H233" i="2"/>
  <c r="H234" i="2"/>
  <c r="H231" i="2"/>
  <c r="H226" i="2"/>
  <c r="F228" i="2"/>
  <c r="H227" i="2"/>
  <c r="D228" i="2"/>
  <c r="H221" i="2"/>
  <c r="H222" i="2"/>
  <c r="H223" i="2"/>
  <c r="H224" i="2"/>
  <c r="H225" i="2"/>
  <c r="H220" i="2"/>
  <c r="F212" i="2"/>
  <c r="H211" i="2"/>
  <c r="D212" i="2"/>
  <c r="K212" i="2" s="1"/>
  <c r="H208" i="2"/>
  <c r="H209" i="2"/>
  <c r="H210" i="2"/>
  <c r="H207" i="2"/>
  <c r="F126" i="2"/>
  <c r="D126" i="2"/>
  <c r="H120" i="2"/>
  <c r="H121" i="2"/>
  <c r="H122" i="2"/>
  <c r="H123" i="2"/>
  <c r="H124" i="2"/>
  <c r="H119" i="2"/>
  <c r="H94" i="2"/>
  <c r="F94" i="2"/>
  <c r="D94" i="2"/>
  <c r="L87" i="2"/>
  <c r="D87" i="2"/>
  <c r="H76" i="2"/>
  <c r="H77" i="2"/>
  <c r="H78" i="2"/>
  <c r="H79" i="2"/>
  <c r="H80" i="2"/>
  <c r="H81" i="2"/>
  <c r="H82" i="2"/>
  <c r="H83" i="2"/>
  <c r="H84" i="2"/>
  <c r="H85" i="2"/>
  <c r="H86" i="2"/>
  <c r="H75" i="2"/>
  <c r="F70" i="2"/>
  <c r="H70" i="2"/>
  <c r="D70" i="2"/>
  <c r="F65" i="2"/>
  <c r="D65" i="2"/>
  <c r="H64" i="2"/>
  <c r="H65" i="2" s="1"/>
  <c r="F54" i="2"/>
  <c r="H53" i="2"/>
  <c r="H52" i="2"/>
  <c r="H43" i="2"/>
  <c r="H42" i="2"/>
  <c r="F47" i="2"/>
  <c r="H31" i="2"/>
  <c r="H32" i="2"/>
  <c r="H33" i="2"/>
  <c r="H30" i="2"/>
  <c r="F34" i="2"/>
  <c r="D34" i="2"/>
  <c r="K190" i="2" l="1"/>
  <c r="K202" i="2" s="1"/>
  <c r="K205" i="2" s="1"/>
  <c r="J190" i="2"/>
  <c r="J202" i="2" s="1"/>
  <c r="J205" i="2" s="1"/>
  <c r="K134" i="2"/>
  <c r="H287" i="2"/>
  <c r="H180" i="2"/>
  <c r="H152" i="2"/>
  <c r="H138" i="2"/>
  <c r="H235" i="2"/>
  <c r="H245" i="2"/>
  <c r="H258" i="2"/>
  <c r="H272" i="2"/>
  <c r="H190" i="2"/>
  <c r="H252" i="2"/>
  <c r="H276" i="2"/>
  <c r="H202" i="2"/>
  <c r="H228" i="2"/>
  <c r="H34" i="2"/>
  <c r="H126" i="2"/>
  <c r="H212" i="2"/>
  <c r="H54" i="2"/>
  <c r="H87" i="2"/>
  <c r="H47" i="2"/>
  <c r="L190" i="2" l="1"/>
  <c r="L202" i="2" s="1"/>
  <c r="L205" i="2" s="1"/>
</calcChain>
</file>

<file path=xl/sharedStrings.xml><?xml version="1.0" encoding="utf-8"?>
<sst xmlns="http://schemas.openxmlformats.org/spreadsheetml/2006/main" count="8539" uniqueCount="1046">
  <si>
    <t>KABUPATEN GUNUNGKIDUL</t>
  </si>
  <si>
    <t>PENDAPATAN</t>
  </si>
  <si>
    <t>Pendapatan Asli Desa</t>
  </si>
  <si>
    <t>Pendapatan Transfer</t>
  </si>
  <si>
    <t>Dana Desa</t>
  </si>
  <si>
    <t>Bagian dari Hasil Pajak dan Retribusi Daerah</t>
  </si>
  <si>
    <t>Alokasi Dana Desa</t>
  </si>
  <si>
    <t>Bantuan Keuangan Propinsi</t>
  </si>
  <si>
    <t>Bantuan Keuangan Kabupaten</t>
  </si>
  <si>
    <t>Pendapatan Lain</t>
  </si>
  <si>
    <t>JUMLAH PENDAPATAN</t>
  </si>
  <si>
    <t>Ref</t>
  </si>
  <si>
    <t>Anggaran</t>
  </si>
  <si>
    <t>Realisasi</t>
  </si>
  <si>
    <t>BELANJA</t>
  </si>
  <si>
    <t xml:space="preserve">Bidang Penyelenggaraan pemerintah Desa </t>
  </si>
  <si>
    <t>Bidang Penangulangan Bencana, Keadaan Darurat dan Mendesak Desa</t>
  </si>
  <si>
    <t xml:space="preserve">Bidang Pembinaan Kemasyaratan Desa </t>
  </si>
  <si>
    <t xml:space="preserve">Bidang Pelaksanaan Pembangunan Desa </t>
  </si>
  <si>
    <t>Bidang Pemberdayaan Masyarakat Desa</t>
  </si>
  <si>
    <t>JUMLAH BELANJA</t>
  </si>
  <si>
    <t>SURPLUS/(DEFISIT)</t>
  </si>
  <si>
    <t>PEMBIAYAAN</t>
  </si>
  <si>
    <t>Penerimaan Pembiayaan</t>
  </si>
  <si>
    <t>Pengeluaran Pembiayaan</t>
  </si>
  <si>
    <t>SILPA TAHUN BERJALAN</t>
  </si>
  <si>
    <t>Catatan Atas Laporan Keuangan</t>
  </si>
  <si>
    <t>A.</t>
  </si>
  <si>
    <t>Informasi Umum</t>
  </si>
  <si>
    <t>B.</t>
  </si>
  <si>
    <t>Dasar Penyajian Laporan Keuangan</t>
  </si>
  <si>
    <t>C.</t>
  </si>
  <si>
    <t>Rincian Pos Laporan Keuangan</t>
  </si>
  <si>
    <t>1. Rekonsiliasi SILPA dan Kas</t>
  </si>
  <si>
    <t>Mutasi Potongan Pajak</t>
  </si>
  <si>
    <t>Pendapatan Asli Desa terdiri dari:</t>
  </si>
  <si>
    <t>2.</t>
  </si>
  <si>
    <t>b. Hasil Aset</t>
  </si>
  <si>
    <t>c. Swadaya, Partisipasi, dan Gotong - royong</t>
  </si>
  <si>
    <t>d. PADesa Lain</t>
  </si>
  <si>
    <t>3.</t>
  </si>
  <si>
    <t>Tahap 1</t>
  </si>
  <si>
    <t>Tahap 2</t>
  </si>
  <si>
    <t>Tahap 3</t>
  </si>
  <si>
    <t xml:space="preserve">4. </t>
  </si>
  <si>
    <t>b. Penerimaan Desa dari kekurangan bagian hasil pajak dan retribusi daerah tahun sebelumnya adalah :</t>
  </si>
  <si>
    <t>5.</t>
  </si>
  <si>
    <t>Alokasi Dana Desa (ADD)</t>
  </si>
  <si>
    <t>Tahap 4</t>
  </si>
  <si>
    <t>Tahap 5</t>
  </si>
  <si>
    <t>Tahap 6</t>
  </si>
  <si>
    <t>Tahap 7</t>
  </si>
  <si>
    <t>Tahap 8</t>
  </si>
  <si>
    <t>Tahap 9</t>
  </si>
  <si>
    <t>Tahap 10</t>
  </si>
  <si>
    <t>Tahap 11</t>
  </si>
  <si>
    <t>Tahap 12</t>
  </si>
  <si>
    <t xml:space="preserve">6. </t>
  </si>
  <si>
    <t>7.</t>
  </si>
  <si>
    <t>8.</t>
  </si>
  <si>
    <t>Pendapatan lain terdiri dari:</t>
  </si>
  <si>
    <t>Penerimaan dari hasil kerjasama Desa dengan pihak ketiga</t>
  </si>
  <si>
    <t>Penerimaan dari bantuan perusahaan yang berlokasi di Desa</t>
  </si>
  <si>
    <t>Hibah dan sumbangan daripihak ketiga</t>
  </si>
  <si>
    <t>Koreksi kesalahan belanja tahun-tahun anggaran sebelumnya yang mengakibatkan penerimaan di kas Desa</t>
  </si>
  <si>
    <t>9.</t>
  </si>
  <si>
    <t>Belanja Pegawai</t>
  </si>
  <si>
    <t>Belanja Barang dan Jasa</t>
  </si>
  <si>
    <t>Belanja Modal</t>
  </si>
  <si>
    <t>Belanja untuk Bidang Pembangunan Desa terdiri dari:</t>
  </si>
  <si>
    <t>Belanja - Bidang Pembangunan Desa</t>
  </si>
  <si>
    <t>11.</t>
  </si>
  <si>
    <t>10.</t>
  </si>
  <si>
    <t>12.</t>
  </si>
  <si>
    <t>Belanja - Bidang Penangulangan Bencana, Keadaan Darurat dan Mendesak Desa</t>
  </si>
  <si>
    <t>14.</t>
  </si>
  <si>
    <t>13.</t>
  </si>
  <si>
    <t>Jaminan Kesehatan Kepala Desa dan Perangkat Desa</t>
  </si>
  <si>
    <t>Belanja Operasional Perkantoran</t>
  </si>
  <si>
    <t>Belanja Pemeliharaan</t>
  </si>
  <si>
    <t>Belanja Barang Perlengkapan Kantor</t>
  </si>
  <si>
    <t>Belanja Jasa Honorarium</t>
  </si>
  <si>
    <t>Belanja Operasional Aparatur Desa</t>
  </si>
  <si>
    <t>Belanja Jasa Sewa</t>
  </si>
  <si>
    <t>Belanja Barang dan Jasa yang Diserahkan kepada masyarakat</t>
  </si>
  <si>
    <t>Belanja Modal Pengadaan Tanah</t>
  </si>
  <si>
    <t>Belanja Modal Kendaraan</t>
  </si>
  <si>
    <t>Belanja Modal Jalan</t>
  </si>
  <si>
    <t>Belanja Modal Jembatan</t>
  </si>
  <si>
    <t>Belanja Modal Jaringan/Instalasi</t>
  </si>
  <si>
    <t>Belanja Modal lainnya</t>
  </si>
  <si>
    <t>Belanja Desa dalam klasifikasi Sub Bidang (Fungsi)</t>
  </si>
  <si>
    <t>15.</t>
  </si>
  <si>
    <t>Bidang Penyelenggaraan Pemerintahan Desa</t>
  </si>
  <si>
    <t>Sub bidang penyelenggaraan belanja penghasilan tetap, tunjangan &amp; operasional pemerintahan desa</t>
  </si>
  <si>
    <t>Sub bidang sarana &amp; prasarana pemerintahan Desa</t>
  </si>
  <si>
    <t>Sub Bidang Administrasi Kependudukan, Pencatatan Sipil, Statistik dan Kearsipan</t>
  </si>
  <si>
    <t>Sub Bidang Tata Praja Pemerintahan, Perencanaan, Keuangan dan Pelaporan</t>
  </si>
  <si>
    <t>Sub Bidang Pertanahan</t>
  </si>
  <si>
    <t>Bidang Pembangunan Desa</t>
  </si>
  <si>
    <t>SubBidangPendidikan</t>
  </si>
  <si>
    <t>SubBidang Kesehatan</t>
  </si>
  <si>
    <t>Sub Bidang Pekerjaan Umum dan Penataan Ruang</t>
  </si>
  <si>
    <t>Sub Bidang Kawasan Permukiman</t>
  </si>
  <si>
    <t>Sub Bidang Kehutanan dan Lingkungan Hidup</t>
  </si>
  <si>
    <t>Sub Bidang Perhubungan, Komunikasi, dan Informatika</t>
  </si>
  <si>
    <t>Sub Bidang Energi dan Sumber Daya Mineral</t>
  </si>
  <si>
    <t>Sub Bidang Pariwisata</t>
  </si>
  <si>
    <t>Bidang Pembinaan Kemasyaratan Desa</t>
  </si>
  <si>
    <t>Sub Bidang Ketenteraman, Ketertiban Umum, dan Pelindungan Masyarakat</t>
  </si>
  <si>
    <t>Sub Bidang Kebudayaandan Keagamaan</t>
  </si>
  <si>
    <t>Sub Bidang Kepemudaan dan Olah Raga</t>
  </si>
  <si>
    <t>Sub Bidang Kelembagaan Masyarakat</t>
  </si>
  <si>
    <t>Belanja - Bidang Pemberdayaan Masyarakat Desa</t>
  </si>
  <si>
    <t>Sub Bidang Kelautan dan Perikanan</t>
  </si>
  <si>
    <t>Sub Bidang Pertanian dan Peternakan</t>
  </si>
  <si>
    <t>Sub Bidang Peningkatan Kapasitas Aparatur Desa</t>
  </si>
  <si>
    <t>Sub Bidang Pemberdayaan Perempuan, Perlindungan Anak dan Keluarga</t>
  </si>
  <si>
    <t>Sub Bidang Koperasi, Usaha Mikro Kecil dan Menengah (UMKM)</t>
  </si>
  <si>
    <t>Sub Bidang Dukungan Penanaman Modal</t>
  </si>
  <si>
    <t>Sub Bidang Perdagangan dan Perindustrian</t>
  </si>
  <si>
    <t>Sub Bidang Penanggulangan Bencana</t>
  </si>
  <si>
    <t>Sub Bidang Keadaan Darurat</t>
  </si>
  <si>
    <t>Sub Bidang Keadaan Mendesak.</t>
  </si>
  <si>
    <t>Pembiayaan</t>
  </si>
  <si>
    <t>16.</t>
  </si>
  <si>
    <t>Penerimaan Pembiayaan terdiri dari:</t>
  </si>
  <si>
    <t>3. Hasil Penjualan Kekayaan Desa yang dipisahkan</t>
  </si>
  <si>
    <t>Pengeluaran Pembiayaan terdiri dari:</t>
  </si>
  <si>
    <t>Perolehan aset desa adalah sebagai berikut,</t>
  </si>
  <si>
    <t>Tanah</t>
  </si>
  <si>
    <t>Peralatan dan Mesin</t>
  </si>
  <si>
    <t>Gedung dan Bangunan</t>
  </si>
  <si>
    <t>Jalan, irigasi, dan jaringan</t>
  </si>
  <si>
    <t>Konstruksi dalam Pengerjaan</t>
  </si>
  <si>
    <t>17.</t>
  </si>
  <si>
    <t>Aset Desa</t>
  </si>
  <si>
    <t>Penyertaan Modal Desa</t>
  </si>
  <si>
    <t>18.</t>
  </si>
  <si>
    <t>* Saldo Akhir Periode Potongan Pajak yg belum disetor ke Kas Negara</t>
  </si>
  <si>
    <t>(lebih)/kurang</t>
  </si>
  <si>
    <t>Bunga Bank</t>
  </si>
  <si>
    <t>Lain - lain Pendapatan yang sah</t>
  </si>
  <si>
    <t>Penghasilan Tetap dan Tunjangan Perangkat Desa</t>
  </si>
  <si>
    <t>Penghasilan Tetap dan Tunjangan Kepala Desa</t>
  </si>
  <si>
    <t>Belanja Perjalanan Dinas</t>
  </si>
  <si>
    <t>Tunjangan BPD</t>
  </si>
  <si>
    <t>Belanja Desa dalam klasifikasi ekonomi</t>
  </si>
  <si>
    <t>Belanja - Bidang Pembinaan Kemasyaratan Desa</t>
  </si>
  <si>
    <t>* Saldo Awal Periode Potongan Pajak yg belum disetor ke Kas Negara</t>
  </si>
  <si>
    <t>* Penerimaan Potongan Pajak tahun anggaran berjalan</t>
  </si>
  <si>
    <t>*  Setoran Pajak ke Kas Negara selama tahun anggaran berjalan</t>
  </si>
  <si>
    <t>1. SILPA tahun anggaran sebelumnya</t>
  </si>
  <si>
    <t>2. Pencairan Dana Cadangan</t>
  </si>
  <si>
    <t>1. Pembentukan Dana Cadangan</t>
  </si>
  <si>
    <t>2. Penyertaan Modal Desa</t>
  </si>
  <si>
    <t>Belanja - Bidang Penyelenggaraan Pemerintahan Desa</t>
  </si>
  <si>
    <t>Penambahan / (Pengurangan)</t>
  </si>
  <si>
    <t>Belanja Modal Gedung dan Bangunan</t>
  </si>
  <si>
    <t>Rincian Aset Tetap  untuk masing-masing klasifikasi diatas dapat dilihat pada lampiran</t>
  </si>
  <si>
    <t>Belanja Modal Peralatan, Mesin, dan Alat Berat</t>
  </si>
  <si>
    <t>PEMBIAYAAN NETTO</t>
  </si>
  <si>
    <t>C.2</t>
  </si>
  <si>
    <t>C.3</t>
  </si>
  <si>
    <t>C.4</t>
  </si>
  <si>
    <t>C.5</t>
  </si>
  <si>
    <t>C.6</t>
  </si>
  <si>
    <t>C.7</t>
  </si>
  <si>
    <t>C.8</t>
  </si>
  <si>
    <t>C.9 dan C15</t>
  </si>
  <si>
    <t>C.10 dan C15</t>
  </si>
  <si>
    <t>C.11 dan C15</t>
  </si>
  <si>
    <t>C.12 dan C15</t>
  </si>
  <si>
    <t>C.13 dan C15</t>
  </si>
  <si>
    <r>
      <rPr>
        <b/>
        <u/>
        <sz val="12"/>
        <color theme="1"/>
        <rFont val="Arial Narrow"/>
        <family val="2"/>
      </rPr>
      <t>(Lebih)</t>
    </r>
    <r>
      <rPr>
        <b/>
        <sz val="12"/>
        <color theme="1"/>
        <rFont val="Arial Narrow"/>
        <family val="2"/>
      </rPr>
      <t>/ Kurang</t>
    </r>
  </si>
  <si>
    <t>a. Penerimaan Desa yang berasal dari Bagian dari hasil pajak dan Retribusi Daerah adalah :</t>
  </si>
  <si>
    <t>c. Penerimaan Desa dari bagian dari hasil penugasan penarikan retribusi obyek wisata dan tempat olah raga:</t>
  </si>
  <si>
    <t>Penerimaan dari hasil kerjasama antar  desa</t>
  </si>
  <si>
    <t>Rp</t>
  </si>
  <si>
    <t>Catatan;</t>
  </si>
  <si>
    <t>Catatan:</t>
  </si>
  <si>
    <t>a. Hasil Usaha Desa</t>
  </si>
  <si>
    <t>Penerimaan Desa yang berasal dari Bantuan Keuangan Propinsi DIY adalah sebagai berikut:</t>
  </si>
  <si>
    <t>* Hasil Usaha Desa adalah laba bersih BUMDes dan PUAP/Gapoktan</t>
  </si>
  <si>
    <t>AGUS SUMARNO</t>
  </si>
  <si>
    <t>BUMDes CIPTA SEJAHTERA</t>
  </si>
  <si>
    <r>
      <t>Penerimaan Desa yang berasal dari Alokasi Dana Desa (A</t>
    </r>
    <r>
      <rPr>
        <u/>
        <sz val="12"/>
        <color theme="1"/>
        <rFont val="Bookman Old Style"/>
        <family val="1"/>
      </rPr>
      <t>DD) adalah se</t>
    </r>
    <r>
      <rPr>
        <sz val="12"/>
        <color theme="1"/>
        <rFont val="Bookman Old Style"/>
        <family val="1"/>
      </rPr>
      <t>b</t>
    </r>
    <r>
      <rPr>
        <u/>
        <sz val="12"/>
        <color theme="1"/>
        <rFont val="Bookman Old Style"/>
        <family val="1"/>
      </rPr>
      <t>agai beikut:</t>
    </r>
  </si>
  <si>
    <r>
      <t>Penerimaan Desa yang berasal dari Bantuan Keuangan K</t>
    </r>
    <r>
      <rPr>
        <u/>
        <sz val="12"/>
        <color theme="1"/>
        <rFont val="Bookman Old Style"/>
        <family val="1"/>
      </rPr>
      <t>abupaten Gunungkidul adalah  :</t>
    </r>
  </si>
  <si>
    <r>
      <t>Belanja untuk Bidang Penyelenggaraan Pemerintahan De</t>
    </r>
    <r>
      <rPr>
        <u/>
        <sz val="12"/>
        <color theme="1"/>
        <rFont val="Bookman Old Style"/>
        <family val="1"/>
      </rPr>
      <t>sa terdiri dari:</t>
    </r>
  </si>
  <si>
    <r>
      <t xml:space="preserve">Belanja untuk Bidang Pembinaan Kemasyarakatan Desa </t>
    </r>
    <r>
      <rPr>
        <u/>
        <sz val="12"/>
        <color theme="1"/>
        <rFont val="Bookman Old Style"/>
        <family val="1"/>
      </rPr>
      <t>terdiri dari:</t>
    </r>
  </si>
  <si>
    <r>
      <t xml:space="preserve">Jumlah belanja dalam klasifikasi ekonomi adalah sebagai </t>
    </r>
    <r>
      <rPr>
        <u/>
        <sz val="12"/>
        <color theme="1"/>
        <rFont val="Bookman Old Style"/>
        <family val="1"/>
      </rPr>
      <t>berikut</t>
    </r>
  </si>
  <si>
    <r>
      <t>Pernyertaan Modal Desa pada BUMDes adalah sebagai be</t>
    </r>
    <r>
      <rPr>
        <u/>
        <sz val="12"/>
        <color theme="1"/>
        <rFont val="Bookman Old Style"/>
        <family val="1"/>
      </rPr>
      <t>rikut,</t>
    </r>
  </si>
  <si>
    <r>
      <t>Belanja untuk Bidang Pemberdayaan Masyarakat Desa ter</t>
    </r>
    <r>
      <rPr>
        <u/>
        <sz val="12"/>
        <color theme="1"/>
        <rFont val="Bookman Old Style"/>
        <family val="1"/>
      </rPr>
      <t>diri dari</t>
    </r>
  </si>
  <si>
    <t>Aset Tetap lainnya</t>
  </si>
  <si>
    <t>19.</t>
  </si>
  <si>
    <t>Dana Cadangan</t>
  </si>
  <si>
    <t xml:space="preserve">Dana Cadangan untuk Rehab Gedung Kantor Desa adalah sebagai berikut </t>
  </si>
  <si>
    <t>TAHUN ANGGARAN 2020</t>
  </si>
  <si>
    <t>LAPORAN REALISASI APB KALURAHAN</t>
  </si>
  <si>
    <t>PEMERINTAH KALURAHAN MELIKAN</t>
  </si>
  <si>
    <t>KAPANEWON RONGKOP</t>
  </si>
  <si>
    <t>Pemerintah Kalurahan Melikan</t>
  </si>
  <si>
    <t>Kapanewon Rongkop Kabupaten Gunungkidul</t>
  </si>
  <si>
    <t>Tahun Anggaran 2020</t>
  </si>
  <si>
    <t>Pemerintah Kalurahan Melikan merupakan Kalurahan di Kapanewon Rongkop, Kabupaten Gunungkidul. Sesuai dengan Keputusan Bupati No. 141/213/PG/KPTS/2019 Tanggal 30 Desember  2019, saat ini kepengurusan Pemerintahan Kalurahan Melikan adalah :</t>
  </si>
  <si>
    <t>3. Kaur Danarta : ISDIANTA</t>
  </si>
  <si>
    <t>2. Carik              : SRI MULYANI,S.Pd</t>
  </si>
  <si>
    <t>1. Lurah             : AGUS SUMARNO,A.Md</t>
  </si>
  <si>
    <t>Kantor Pemerintahan Kalurahan beralamat di Ngricik, Kalurahan Melikan,  Kapanewon Rongkop, Kabupaten Gunungkidul.</t>
  </si>
  <si>
    <t>Laporan Keuangan Kalurahan berupa Laporan Realisasi APBKal sesuai basis kas dengan dasar harga perolehan. Pendapatan dicatat pada saat kas diterima dibank atau Kas dan Belanja dicatat pada saat kas dikeluarkan dan telah bersifat definitif.</t>
  </si>
  <si>
    <t>SILPA Tahun Anggaran 2020</t>
  </si>
  <si>
    <t>Saldo Kas per 31 Desember 2020</t>
  </si>
  <si>
    <t>* PADesa Lain berasal dari Pungutan PTSL 313 bidang @ Rp 150.000,00, pengembalian atas temuan hasil pemeriksaan pengelolaan keuangan, dan Pengelolaan Tanah Desa</t>
  </si>
  <si>
    <t>Dana Desa merupakan penerimaan desa yang diperoleh dari APBN. Jumlah penerimaan Dana Desa selama tahun anggaran 2020 adalah sebagai berikut:</t>
  </si>
  <si>
    <t>Bagian dari hasil pajak dan Retribusi Daerah</t>
  </si>
  <si>
    <t>Pada Tahun 2020 tidak ada Penerimaan Desa dari hasil Penugasan</t>
  </si>
  <si>
    <t>Pada Tahun 2020 tidak ada Penerimaan Desa dari Bantuan Keuangan Propinsi DIY</t>
  </si>
  <si>
    <t xml:space="preserve">Tahap 2 </t>
  </si>
  <si>
    <t>* Penerimaan hasil kerjasama pihak ketiga adalah berasal dari surplus PPM Kapanewon Rongkop</t>
  </si>
  <si>
    <t>*Lain - lain Pendapatan yang sah berasal dari hadiah desa lunas PBB</t>
  </si>
  <si>
    <t>Tahap 1 (BKK)</t>
  </si>
  <si>
    <t>Belanja Modal Irigasi/Embung/Air Sungai/Drainase</t>
  </si>
  <si>
    <t>2019</t>
  </si>
  <si>
    <t>2020</t>
  </si>
  <si>
    <t>Lurah Melikan,</t>
  </si>
  <si>
    <t>Belanja - Bidang Penanggulangan Bencana, Keadaan Darurat dan Mendesak Desa</t>
  </si>
  <si>
    <t>Selama tahun anggaran 2020, Pemerintahan Kalurahan melakukan penanggulangan bencana dan keadaan darurat sebagai berikut</t>
  </si>
  <si>
    <r>
      <t>Jumlah netto pembiayaan tahun anggaran 2020 adalah s</t>
    </r>
    <r>
      <rPr>
        <u/>
        <sz val="12"/>
        <color theme="1"/>
        <rFont val="Bookman Old Style"/>
        <family val="1"/>
      </rPr>
      <t>ebagai beriku</t>
    </r>
    <r>
      <rPr>
        <sz val="12"/>
        <color theme="1"/>
        <rFont val="Bookman Old Style"/>
        <family val="1"/>
      </rPr>
      <t>t:</t>
    </r>
  </si>
  <si>
    <t>LAMPIRAN III</t>
  </si>
  <si>
    <t>TENTANG</t>
  </si>
  <si>
    <t>PERTANGGUNG JAWABAN REALISASI</t>
  </si>
  <si>
    <t xml:space="preserve">ANGGARAN PENDAPATAN DAN BELANJA DESA </t>
  </si>
  <si>
    <t>: Melikan</t>
  </si>
  <si>
    <t>: Rongkop</t>
  </si>
  <si>
    <t>Kabupaten</t>
  </si>
  <si>
    <t>: Gunungkidul</t>
  </si>
  <si>
    <t>Provinsi</t>
  </si>
  <si>
    <t>: D.I. Yogyakarta</t>
  </si>
  <si>
    <t>No.</t>
  </si>
  <si>
    <t>Program</t>
  </si>
  <si>
    <t>Kegiatan</t>
  </si>
  <si>
    <t xml:space="preserve">Jenis </t>
  </si>
  <si>
    <t xml:space="preserve">Lokasi </t>
  </si>
  <si>
    <t>Volume</t>
  </si>
  <si>
    <t>Satuan</t>
  </si>
  <si>
    <t>Jumlah</t>
  </si>
  <si>
    <t>Sumber Dana</t>
  </si>
  <si>
    <t>APBD</t>
  </si>
  <si>
    <t>Program Keluarga Harapan (PKH)</t>
  </si>
  <si>
    <t>Bantuan Keuangan</t>
  </si>
  <si>
    <t>Bantuan Pangan Non Tunai (BPNT)</t>
  </si>
  <si>
    <t>Bantuan Beras dan Telur</t>
  </si>
  <si>
    <t>397 KPM</t>
  </si>
  <si>
    <t>Bantuan Peningkatan Hasil Pertanian</t>
  </si>
  <si>
    <t>Bantuan Bibit Jagung</t>
  </si>
  <si>
    <t>PERATURAN KALURAHAN MELIKAN</t>
  </si>
  <si>
    <t>NOMOR     TAHUN 2021</t>
  </si>
  <si>
    <t>TAHUN ANGGARAN 2021</t>
  </si>
  <si>
    <t>PROGRAM SEKTORAL, PROGRAM DAERAH DAN PROGRAM LAINNYA YANG MASUK KEKALURAHAN</t>
  </si>
  <si>
    <t>Kalurahan</t>
  </si>
  <si>
    <t>Kapanewon</t>
  </si>
  <si>
    <t>Bantuan Sosial</t>
  </si>
  <si>
    <t>Kalurahan Melikan</t>
  </si>
  <si>
    <t>126 KPM</t>
  </si>
  <si>
    <t>BST Kemensos Tahap 1-3 (3 bulan)</t>
  </si>
  <si>
    <t>BST Kemensos Tahap 4-8 (5 bulan)</t>
  </si>
  <si>
    <t>BTT APBD (Aspek Medis dan Fakir Miskin)</t>
  </si>
  <si>
    <t>21 KPM</t>
  </si>
  <si>
    <t>BTT APBD (Aspek Inormal)</t>
  </si>
  <si>
    <t>45 KPM</t>
  </si>
  <si>
    <t>Proram Sertipikat SG</t>
  </si>
  <si>
    <t>Sertipikat tanah SG</t>
  </si>
  <si>
    <t>40 Bidang</t>
  </si>
  <si>
    <t>225 Kg</t>
  </si>
  <si>
    <t>APBN</t>
  </si>
  <si>
    <t>APBD Kab</t>
  </si>
  <si>
    <t>APBD Prop</t>
  </si>
  <si>
    <t>Jaring  Pengaman Sosial (JPS 3 bulan)</t>
  </si>
  <si>
    <t>LURAH MELIKAN</t>
  </si>
  <si>
    <t>NO</t>
  </si>
  <si>
    <t>KODE</t>
  </si>
  <si>
    <t>REALISASI</t>
  </si>
  <si>
    <t>KET</t>
  </si>
  <si>
    <t>BULAN INI</t>
  </si>
  <si>
    <t>BULAN LALU</t>
  </si>
  <si>
    <t>ANGGARAN</t>
  </si>
  <si>
    <t>(Rp)</t>
  </si>
  <si>
    <t>4.1</t>
  </si>
  <si>
    <t>4.1.1</t>
  </si>
  <si>
    <t>Hasil Usaha Desa</t>
  </si>
  <si>
    <t>4.1.1.01</t>
  </si>
  <si>
    <t>Bagi Hasil BUMDes</t>
  </si>
  <si>
    <t>4.1.1.99</t>
  </si>
  <si>
    <t>Lain-lain Hasil Usaha Desa</t>
  </si>
  <si>
    <t>4.1.4</t>
  </si>
  <si>
    <t>Lain-Lain Pendapatan Asli Desa</t>
  </si>
  <si>
    <t>4.1.4.01</t>
  </si>
  <si>
    <t>Hasil Pungutan Desa</t>
  </si>
  <si>
    <t>4.1.4.96</t>
  </si>
  <si>
    <t>Hasil pengelolaan tanah kas desa</t>
  </si>
  <si>
    <t>4.1.4.93</t>
  </si>
  <si>
    <t>Pengembalian atas temuan hasil pemeriksaan Inspektorat</t>
  </si>
  <si>
    <t>4.2</t>
  </si>
  <si>
    <t>4.2.1</t>
  </si>
  <si>
    <t>4.2.1.01</t>
  </si>
  <si>
    <t>4.2.2</t>
  </si>
  <si>
    <t>Bagi Hasil Pajak dan Retribusi</t>
  </si>
  <si>
    <t>4.2.2.01</t>
  </si>
  <si>
    <t>Bagi Hasil Pajak dan Retribusi Daerah Kabupaten/Kota</t>
  </si>
  <si>
    <t>4.2.3</t>
  </si>
  <si>
    <t>4.2.3.01</t>
  </si>
  <si>
    <t>4.2.5</t>
  </si>
  <si>
    <t>Bantuan Keuangan Kabupaten/Kota</t>
  </si>
  <si>
    <t>4.2.5.01</t>
  </si>
  <si>
    <t>Bantuan Keuangan dari APBD Kabupaten/Kota</t>
  </si>
  <si>
    <t>4.3</t>
  </si>
  <si>
    <t>Pendapatan Lain-lain</t>
  </si>
  <si>
    <t>4.3.2</t>
  </si>
  <si>
    <t>Penerimaan dari Hasil Kerjasama dengan Pihak Ketiga</t>
  </si>
  <si>
    <t>4.3.2.01</t>
  </si>
  <si>
    <t>4.3.6</t>
  </si>
  <si>
    <t>4.3.6.01</t>
  </si>
  <si>
    <t>4.3.7</t>
  </si>
  <si>
    <t>Lain-lain Pendapatan Desa Yang Sah</t>
  </si>
  <si>
    <t>4.3.7.90</t>
  </si>
  <si>
    <t>Insentif/hadiah desa lunas PBB</t>
  </si>
  <si>
    <t>pad</t>
  </si>
  <si>
    <t>BIDANG PENYELENGGARAN PEMERINTAHAN DESA</t>
  </si>
  <si>
    <t>1.01</t>
  </si>
  <si>
    <t>Penyelenggaran Belanja Siltap, Tunjangan dan Operasional Pemerintahan
Desa</t>
  </si>
  <si>
    <t>1.01.01</t>
  </si>
  <si>
    <t>Penyediaan Penghasilan Tetap dan Tunjangan Kepala Desa</t>
  </si>
  <si>
    <t>5.1</t>
  </si>
  <si>
    <t>5.1.1</t>
  </si>
  <si>
    <t>5.1.1.01</t>
  </si>
  <si>
    <t>Penghasilan Tetap Kepala Desa</t>
  </si>
  <si>
    <t>5.1.1.02</t>
  </si>
  <si>
    <t>Tunjangan Kepala Desa</t>
  </si>
  <si>
    <t>1.01.02</t>
  </si>
  <si>
    <t>Penyediaan Penghasilan Tetap dan Tunjangan Perangkat Desa</t>
  </si>
  <si>
    <t>5.1.2</t>
  </si>
  <si>
    <t>5.1.2.01</t>
  </si>
  <si>
    <t>Penghasilan Tetap Perangkat Desa</t>
  </si>
  <si>
    <t>5.1.2.02</t>
  </si>
  <si>
    <t>Tunjangan Perangkat Desa</t>
  </si>
  <si>
    <t>1.01.03</t>
  </si>
  <si>
    <t>Penyediaan Jaminan Sosial bagi Kepala Desa dan Perangkat Desa</t>
  </si>
  <si>
    <t>5.1.3</t>
  </si>
  <si>
    <t>Jaminan Sosial Kepala Desa dan Perangkat Desa</t>
  </si>
  <si>
    <t>5.1.3.01</t>
  </si>
  <si>
    <t>Jaminan Kesehatan Kepala Desa</t>
  </si>
  <si>
    <t>5.1.3.02</t>
  </si>
  <si>
    <t>Jaminan Kesehatan Perangkat Desa</t>
  </si>
  <si>
    <t>5.1.3.03</t>
  </si>
  <si>
    <t>Jaminan Ketenagakerjaan Kepala Desa</t>
  </si>
  <si>
    <t>5.1.3.04</t>
  </si>
  <si>
    <t>Jaminan Ketenagakerjaan Perangkat Desa</t>
  </si>
  <si>
    <t>1.01.04</t>
  </si>
  <si>
    <t>Penyediaan Operasional Pemerintah Desa (ATK, Honor PKPKD dan PPKD
dll)</t>
  </si>
  <si>
    <t>5.2</t>
  </si>
  <si>
    <t>5.2.1</t>
  </si>
  <si>
    <t>Belanja Barang Perlengkapan</t>
  </si>
  <si>
    <t>5.2.1.01</t>
  </si>
  <si>
    <t>Belanja Alat Tulis Kantor dan Benda Pos</t>
  </si>
  <si>
    <t>5.2.1.03</t>
  </si>
  <si>
    <t>Belanja Perlengkapan Alat Rumah Tangga dan Bahan Kebersihan</t>
  </si>
  <si>
    <t>5.2.1.05</t>
  </si>
  <si>
    <t>Belanja Barang Cetak dan Penggandaan</t>
  </si>
  <si>
    <t>5.2.1.06</t>
  </si>
  <si>
    <t>Belanja Barang Konsumsi (Makan/Minum)</t>
  </si>
  <si>
    <t>5.2.2</t>
  </si>
  <si>
    <t>5.2.2.06</t>
  </si>
  <si>
    <t>Belanja Jasa Honorarium PKPKD dan PPKD</t>
  </si>
  <si>
    <t>5.2.3</t>
  </si>
  <si>
    <t>5.2.3.01</t>
  </si>
  <si>
    <t>Belanja Perjalanan Dinas Dalam Kabupaten/Kota</t>
  </si>
  <si>
    <t>5.2.3.02</t>
  </si>
  <si>
    <t>Belanja Perjalanan Dinas Luar Kabupaten/Kota</t>
  </si>
  <si>
    <t>5.2.5</t>
  </si>
  <si>
    <t>5.2.5.01</t>
  </si>
  <si>
    <t>Belanja Jasa Langganan Listrik</t>
  </si>
  <si>
    <t>5.2.5.02</t>
  </si>
  <si>
    <t>Belanja Jasa Langganan Air Bersih</t>
  </si>
  <si>
    <t>5.2.5.05</t>
  </si>
  <si>
    <t>Belanja Jasa Langganan Internet</t>
  </si>
  <si>
    <t>5.2.5.07</t>
  </si>
  <si>
    <t>Belanja Jasa Perpanjangan Ijin/Pajak</t>
  </si>
  <si>
    <t>1.01.05</t>
  </si>
  <si>
    <t>Penyediaan Tunjangan BPD</t>
  </si>
  <si>
    <t>5.1.4</t>
  </si>
  <si>
    <t>5.1.4.01</t>
  </si>
  <si>
    <t>Tunjangan Kedudukan BPD</t>
  </si>
  <si>
    <t>5.1.4.02</t>
  </si>
  <si>
    <t>Tunjangan Kinerja BPD</t>
  </si>
  <si>
    <t>1.01.06</t>
  </si>
  <si>
    <t>Penyediaan Operasional BPD (rapat, ATK, Makan Minum, Pakaian
Seragam, Listrik dll)</t>
  </si>
  <si>
    <t>1.01.07</t>
  </si>
  <si>
    <t>Penyediaan Insentif/Operasional RT/RW</t>
  </si>
  <si>
    <t>5.2.2.99</t>
  </si>
  <si>
    <t>Belanja Jasa Honorarium Lainnya</t>
  </si>
  <si>
    <t>1.02</t>
  </si>
  <si>
    <t>Penyediaan Sarana Prasarana Pemerintahan Desa</t>
  </si>
  <si>
    <t>1.02.90</t>
  </si>
  <si>
    <t>Pengadaan Peralatan Kerja</t>
  </si>
  <si>
    <t>5.3</t>
  </si>
  <si>
    <t>5.3.2</t>
  </si>
  <si>
    <t>Belanja Modal Pengadaan Peralatan, Mesin dan Alat Berat</t>
  </si>
  <si>
    <t>5.3.2.02</t>
  </si>
  <si>
    <t>Belanja Modal Pengadaan Peralatan Elektronik dan Alat Studio</t>
  </si>
  <si>
    <t>1.02.94</t>
  </si>
  <si>
    <t>Rehabilitasi/pemeliharaan kendaraan dinas/operasional</t>
  </si>
  <si>
    <t>5.2.6</t>
  </si>
  <si>
    <t>5.2.6.02</t>
  </si>
  <si>
    <t>Belanja Pemeliharaan Kendaraan Bermotor</t>
  </si>
  <si>
    <t>1.02.95</t>
  </si>
  <si>
    <t>Penyediaan jasa perbaikan/servis peralatan kerja</t>
  </si>
  <si>
    <t>5.2.6.03</t>
  </si>
  <si>
    <t>Belanja Pemeliharaan Peralatan</t>
  </si>
  <si>
    <t>1.03</t>
  </si>
  <si>
    <t>Pengelolaan Administrasi Kependudukan, Pencatatan Sipil, Statistik dan
Kearsipan</t>
  </si>
  <si>
    <t>1.03.02</t>
  </si>
  <si>
    <t>Penyusunan, Pendataan, dan Pemutakhiran Profil Desa **)</t>
  </si>
  <si>
    <t>5.2.2.05</t>
  </si>
  <si>
    <t>Belanja Jasa Honorarium Petugas</t>
  </si>
  <si>
    <t>1.03.90</t>
  </si>
  <si>
    <t>Penyusunan monografi desa</t>
  </si>
  <si>
    <t>1.03.91</t>
  </si>
  <si>
    <t>Pendataan keluarga/rumah tangga miskin</t>
  </si>
  <si>
    <t>1.04</t>
  </si>
  <si>
    <t xml:space="preserve">Penyelenggaraan Tata Praja Pemerintahan, Perencanaan, Keuangan dan Pelaporan
</t>
  </si>
  <si>
    <t>1.04.01</t>
  </si>
  <si>
    <t>Penyelenggaraan Musyawarah Perencanaan Desa/Pembahasan APBDes (Reguler)</t>
  </si>
  <si>
    <t>1.04.02</t>
  </si>
  <si>
    <t>Penyelenggaraan Musyawaran Desa Lainnya (Musdus, rembug desa Non
Reguler)</t>
  </si>
  <si>
    <t>1.04.03</t>
  </si>
  <si>
    <t>Penyusunan Dokumen Perencanaan Desa (RPJMDesa/RKPDesa dll)</t>
  </si>
  <si>
    <t>5.2.2.01</t>
  </si>
  <si>
    <t>Belanja Jasa Honorarium Tim Pelaksana Kegiatan</t>
  </si>
  <si>
    <t>1.04.04</t>
  </si>
  <si>
    <t>Penyusunan Dokumen Keuangan Desa (APBDes, APBDes Perubahan, LPJ dll)</t>
  </si>
  <si>
    <t>1.04.06</t>
  </si>
  <si>
    <t>Penyusunan Kebijakan Desa (Perdes/Perkades selain
Perencanaan/Keuangan)</t>
  </si>
  <si>
    <t>1.04.07</t>
  </si>
  <si>
    <t>Penyusunan Laporan Kepala Desa, LPPDesa dan Informasi Kepada
Masyarakat</t>
  </si>
  <si>
    <t>1.04.08</t>
  </si>
  <si>
    <t>Pengembangan Sistem Informasi Desa</t>
  </si>
  <si>
    <t>5.2.2.02</t>
  </si>
  <si>
    <t>Belanja Jasa Honorarium Pembantu Tugas Umum Desa/Operator</t>
  </si>
  <si>
    <t>5.3.8</t>
  </si>
  <si>
    <t>5.3.8.03</t>
  </si>
  <si>
    <t>Belanja Modal Jaringan/Instalasi - Bahan Baku/Material</t>
  </si>
  <si>
    <t>1.04.90</t>
  </si>
  <si>
    <t>Penyusunan laporan keuangan bulanan/SPJ dan semesteran</t>
  </si>
  <si>
    <t>1.04.91</t>
  </si>
  <si>
    <t>Pengisian perangkat desa</t>
  </si>
  <si>
    <t>5.2.4</t>
  </si>
  <si>
    <t>5.2.4.02</t>
  </si>
  <si>
    <t>Belanja Jasa Sewa Peralatan/Perlengkapan</t>
  </si>
  <si>
    <t>1.04.92</t>
  </si>
  <si>
    <t>Penghargaan purna tugas bagi aparatur pemerintahan desa</t>
  </si>
  <si>
    <t>5.2.7</t>
  </si>
  <si>
    <t>Belanja Barang dan Jasa yang Diserahkan kepada Masyarakat</t>
  </si>
  <si>
    <t>5.2.7.99</t>
  </si>
  <si>
    <t>Belanja Barang untuk Diserahkan kepada Masyarakat Lainnya</t>
  </si>
  <si>
    <t>1.05</t>
  </si>
  <si>
    <t>1.05.03</t>
  </si>
  <si>
    <t>Fasilitasi Sertifikasi Tanah untuk Masyarakat Miskin</t>
  </si>
  <si>
    <t>5.2.4.03</t>
  </si>
  <si>
    <t>Belanja Jasa Sewa Sarana Mobilitas</t>
  </si>
  <si>
    <t>1.05.94</t>
  </si>
  <si>
    <t>Intensifikasi pemungutan pajak daerah /PBB</t>
  </si>
  <si>
    <t>BIDANG PELAKSANAAN PEMBANGUNAN DESA</t>
  </si>
  <si>
    <t>2.01</t>
  </si>
  <si>
    <t>Sub Bidang Pendidikan</t>
  </si>
  <si>
    <t>2.01.01</t>
  </si>
  <si>
    <t>Penyelenggaran PAUD/TK/TPA/TKA/TPQ/Madrasah NonFormal Milik Desa
(Honor, Pakaian dll)</t>
  </si>
  <si>
    <t>5.2.2.04</t>
  </si>
  <si>
    <t>Belanja Jasa Honorarium Tenaga Ahli/Profesi/Konsultan/Narasumber</t>
  </si>
  <si>
    <t>5.2.2.08</t>
  </si>
  <si>
    <t>Belanja Jasa Uang Saku Pelatihan/Seminar/Bimbingan Teknis</t>
  </si>
  <si>
    <t>2.01.08</t>
  </si>
  <si>
    <t>Pengelolaan Perpustakaan Milik Desa (Pengadaan Buku, Honor, Taman
Baca)</t>
  </si>
  <si>
    <t>5.21.05</t>
  </si>
  <si>
    <t>5.2.5.03</t>
  </si>
  <si>
    <t>Belanja Jasa Langganan Majalah/Surat Kabar</t>
  </si>
  <si>
    <t>2.01.90</t>
  </si>
  <si>
    <t>Pembangunan/rehabilitasi Gedung PAUD/TK Milik Desa</t>
  </si>
  <si>
    <t>5.2.1.99</t>
  </si>
  <si>
    <t>Belanja Barang Perlengkapan Lainnya</t>
  </si>
  <si>
    <t>5.3.4</t>
  </si>
  <si>
    <t>Belanja Modal Gedung, Bangunan dan Taman</t>
  </si>
  <si>
    <t>5.3.4.01</t>
  </si>
  <si>
    <t>Belanja Modal Gedung, Bangunan, Taman - Honor Pelaksana Kegiatan</t>
  </si>
  <si>
    <t>5.3.4.02</t>
  </si>
  <si>
    <t>Belanja Modal Gedung, Bangunan, Taman - Upah Tenaga Kerja</t>
  </si>
  <si>
    <t>5.3.4.03</t>
  </si>
  <si>
    <t>Belanja Modal Gedung, Bangunan, Taman - Bahan Baku/Material</t>
  </si>
  <si>
    <t>2.02</t>
  </si>
  <si>
    <t>Sub Bidang Kesehatan</t>
  </si>
  <si>
    <t>2.02.02</t>
  </si>
  <si>
    <t>Penyelenggaraan Posyandu (Mkn Tambahan, Kls Bumil, Lamsia, Insentif)</t>
  </si>
  <si>
    <t>2.02.03</t>
  </si>
  <si>
    <t>Penyuluhan dan Pelatihan Bidang Kesehatan (Untuk Masy, Tenaga dan
Kader Kesehatan dll)</t>
  </si>
  <si>
    <t>2.02.04</t>
  </si>
  <si>
    <t>Penyelenggaraan Desa Siaga Kesehatan</t>
  </si>
  <si>
    <t>Belanja Modal Pengadaan Peralatan Mesin dan Alat Berat</t>
  </si>
  <si>
    <t>Belanja Modal Peralatan Elektronik dan Alat Studio</t>
  </si>
  <si>
    <t>2.02.06</t>
  </si>
  <si>
    <t>Pengasuhan Bersama atau Bina Keluarga Balita (BKB)</t>
  </si>
  <si>
    <t>2.02.09</t>
  </si>
  <si>
    <t>Pembangunan/Rehabilitasi/Peningkatan/Pengadaan Sarana/Prasarana
Posyandu/Polindes/PKD **</t>
  </si>
  <si>
    <t>2.02.90</t>
  </si>
  <si>
    <t>Penyelenggaraan Pos Pembinaan Terpadu (Posbindu)</t>
  </si>
  <si>
    <t>2.02.93</t>
  </si>
  <si>
    <t>Penyelenggaraan kesehatan lingkungan</t>
  </si>
  <si>
    <t>5.2.1.04</t>
  </si>
  <si>
    <t>Belanja Bahan Bakar Minyak/Gas/Isi Ulang Tabung Pemadam Kebakaran</t>
  </si>
  <si>
    <t>2.02.94</t>
  </si>
  <si>
    <t>Pemberian makanan tambahan untuk balita/siswa  PAUD</t>
  </si>
  <si>
    <t>2.02.98</t>
  </si>
  <si>
    <t>Insentif kader kesehatan/KB</t>
  </si>
  <si>
    <t>2.02.99</t>
  </si>
  <si>
    <t>Pengembangan Sanitasi Terpadu Berbasis Masyarakat (STBM)</t>
  </si>
  <si>
    <t>2.03</t>
  </si>
  <si>
    <t>2.03.10</t>
  </si>
  <si>
    <t>Pembangunan/Rehabilitas/Peningkatan/Pengerasan Jalan Desa **)</t>
  </si>
  <si>
    <t>5.3.5</t>
  </si>
  <si>
    <t>Belanja Modal Jalan/Prasarana Jalan</t>
  </si>
  <si>
    <t>5.3.5.01</t>
  </si>
  <si>
    <t>Belanja Modal Jalan - Honor Tim Pelaksana Kegiatan</t>
  </si>
  <si>
    <t>5.3.5.02</t>
  </si>
  <si>
    <t>Belanja Modal Jalan - Upah Tenaga Kerja</t>
  </si>
  <si>
    <t>5.3.5.03</t>
  </si>
  <si>
    <t>Belanja Modal Jalan - Bahan Baku/Material</t>
  </si>
  <si>
    <t>5.3.5.04</t>
  </si>
  <si>
    <t>Belanja Modal Jalan - Sewa Peralan</t>
  </si>
  <si>
    <t>2.03.11</t>
  </si>
  <si>
    <t>Pembangunan/Rehabilitasi/Peningkatan/Pengerasan Jalan Lingkungan
Permukiman **)</t>
  </si>
  <si>
    <t>2.03.14</t>
  </si>
  <si>
    <t>Pembangunan/Rehabilitasi/Peningkatan Prasarana Jalan Desa (Gorong,
selokan dll)</t>
  </si>
  <si>
    <t>2.03.15</t>
  </si>
  <si>
    <t>Pembangunan/Rehabilitasi/Peningkatan Balai Desa/Balai Kemasyarakatan**)</t>
  </si>
  <si>
    <t>2.03.92</t>
  </si>
  <si>
    <t>Penyediaan sarana prasarana pemakaman milik desa</t>
  </si>
  <si>
    <t>2.04</t>
  </si>
  <si>
    <t>Sub Bidang Kawasan Pemukiman</t>
  </si>
  <si>
    <t>2.04.01</t>
  </si>
  <si>
    <t>Dukungan Pelaksanaan Program Pembangunan/Rehab Rumah Tidak
Layak Huni GAKIN</t>
  </si>
  <si>
    <t>2.04.91</t>
  </si>
  <si>
    <t>Pemberian stimulan jamban sehat</t>
  </si>
  <si>
    <t>2.06</t>
  </si>
  <si>
    <t>Sub Bidang Perhubungan, Komunikasi dan Informatika</t>
  </si>
  <si>
    <t>2.06.02</t>
  </si>
  <si>
    <t>Penyelenggaraan Informasi Publik Desa (Poster, Baliho Dll)</t>
  </si>
  <si>
    <t>BIDANG PEMBINAAN KEMASYARAKATAN</t>
  </si>
  <si>
    <t>3.01</t>
  </si>
  <si>
    <t>Sub Bidang Ketenteraman, Ketertiban Umum dan Perlindungan Masyarakat</t>
  </si>
  <si>
    <t>3.01.93</t>
  </si>
  <si>
    <t>Pembinaan Jaga Warga</t>
  </si>
  <si>
    <t>3.02</t>
  </si>
  <si>
    <t>Sub Bidang Kebudayaan dan Keagamaan</t>
  </si>
  <si>
    <t>3.02.03</t>
  </si>
  <si>
    <t>Penyelenggaran Festival Kesenian, Adat/Kebudayaan, dan Kegamaan
(HUT RI, Raya Keagamaan dll)</t>
  </si>
  <si>
    <t>5.2.4.99</t>
  </si>
  <si>
    <t>Belanja Jasa Sewa Lainnya</t>
  </si>
  <si>
    <t>3.02.91</t>
  </si>
  <si>
    <t>Pengembangan kehidupan sosial keagamaan</t>
  </si>
  <si>
    <t>3.03</t>
  </si>
  <si>
    <t>Sub Bidang Kepemudaan dan Olahraga</t>
  </si>
  <si>
    <t>3.03.06</t>
  </si>
  <si>
    <t>Pembinaan Karangtaruna/Klub Kepemudaan/Olahraga Tingkat Desa</t>
  </si>
  <si>
    <t>3.03.93</t>
  </si>
  <si>
    <t>Operasional Karang Taruna</t>
  </si>
  <si>
    <t>3.04</t>
  </si>
  <si>
    <t>3.04.02</t>
  </si>
  <si>
    <t>Pembinaan LKMD/LPM/LPMD</t>
  </si>
  <si>
    <t>3.04.03</t>
  </si>
  <si>
    <t>Pembinaan PKK</t>
  </si>
  <si>
    <t>3.04.91</t>
  </si>
  <si>
    <t>Pembinaan Kader Pemberdayaan Masyarakat</t>
  </si>
  <si>
    <t>3.04.92</t>
  </si>
  <si>
    <t>Optimalisasi peran Tim Koordinasi Penanggulangan Kemiskinan Desa
(TKPK Desa)</t>
  </si>
  <si>
    <t>3.04.93</t>
  </si>
  <si>
    <t>Pelaksanaan Bulan Bhakti Gotong Royong</t>
  </si>
  <si>
    <t>3.04.94</t>
  </si>
  <si>
    <t>Pembinaan RT/RW</t>
  </si>
  <si>
    <t>3.04.95</t>
  </si>
  <si>
    <t>Operasional LPMD dan/atau LPMD</t>
  </si>
  <si>
    <t>3.04.96</t>
  </si>
  <si>
    <t>Operasional PKK</t>
  </si>
  <si>
    <t>BIDANG PEMBERDAYAAN MASYARAKAT</t>
  </si>
  <si>
    <t>4.02</t>
  </si>
  <si>
    <t>4.02.02</t>
  </si>
  <si>
    <t>Peningkatan Produksi Peternakan  (alat produksi/pengelolaan/kandang)</t>
  </si>
  <si>
    <t>5.2.7.05</t>
  </si>
  <si>
    <t>Belanja Bantuan Bibit Tanaman/Hewan/Ikan</t>
  </si>
  <si>
    <t>4.02.92</t>
  </si>
  <si>
    <t>5.2.1.12</t>
  </si>
  <si>
    <t>Belanja Pupuk/Obat-obatan Pertanian</t>
  </si>
  <si>
    <t>4.03</t>
  </si>
  <si>
    <t>4.03.03</t>
  </si>
  <si>
    <t>Peningkatan Kapasitas BPD</t>
  </si>
  <si>
    <t>4.04</t>
  </si>
  <si>
    <t>4.04.01</t>
  </si>
  <si>
    <t>Pelatihan dan Penyuluhan Pemberdayaan Perempuan</t>
  </si>
  <si>
    <t>5.2.7.02</t>
  </si>
  <si>
    <t>Belanja Bantuan Mesin/Peralatan/Kendaraan untuk Diserahkan kepada Masyarakat</t>
  </si>
  <si>
    <t>4.04.95</t>
  </si>
  <si>
    <t>Pembinaan dan Pemberdayaan Kelompok Rentan</t>
  </si>
  <si>
    <t>4.04.96</t>
  </si>
  <si>
    <t>Penyuluhan/pembinaan kesehatan reproduksi pada remaja</t>
  </si>
  <si>
    <t>4.05</t>
  </si>
  <si>
    <t>Sub Bidang Koperasi, Usaha Micro Kecil dan Menengah (UMKM)</t>
  </si>
  <si>
    <t>4.05.02</t>
  </si>
  <si>
    <t>Pengembangan Sarana Prasarana Usaha Mikro, Kecil, Menengah dan
Koperasi</t>
  </si>
  <si>
    <t>4.06</t>
  </si>
  <si>
    <t>4.06.02</t>
  </si>
  <si>
    <t>Pelatihan Pengelolaan BUM Desa (Pelatihan yg dilaksanakan oleh Pemdes)</t>
  </si>
  <si>
    <t>5.2.4.01</t>
  </si>
  <si>
    <t>Belanja Jasa Sewa Bangunan/Gedung/Ruang</t>
  </si>
  <si>
    <t>BIDANG PENANGGULANGAN BENCANA, DARURAT DAN MENDESAK DESA</t>
  </si>
  <si>
    <t>5.01</t>
  </si>
  <si>
    <t>5.01.01</t>
  </si>
  <si>
    <t>Kegiatan Penanggulanan Bencana</t>
  </si>
  <si>
    <t>5.4</t>
  </si>
  <si>
    <t>Belanja Tidak Terduga</t>
  </si>
  <si>
    <t>5.4.1</t>
  </si>
  <si>
    <t>5.4.1.01</t>
  </si>
  <si>
    <t>5.02</t>
  </si>
  <si>
    <t>5.02.01</t>
  </si>
  <si>
    <t>Penanganan Keadaan Darurat</t>
  </si>
  <si>
    <t>5.03</t>
  </si>
  <si>
    <t>Sub Bidang Keadaan Mendesak</t>
  </si>
  <si>
    <t>5.03.01</t>
  </si>
  <si>
    <t>Penanganan Keadaan Mendesak</t>
  </si>
  <si>
    <t>Lurah Melikan</t>
  </si>
  <si>
    <t>PERATURAN KALURAHAN MELIKAN NOMOR 1 TAHUN 2021</t>
  </si>
  <si>
    <t>LAPORAN PERTANGGUNGJAWABAN REALISASI APBKal</t>
  </si>
  <si>
    <t>LAMPIRAN II</t>
  </si>
  <si>
    <t>LAPORAN REALISASI KEGIATAN</t>
  </si>
  <si>
    <t>PERIODE 01 Januari - 31 Desember</t>
  </si>
  <si>
    <t>KALURAHAN</t>
  </si>
  <si>
    <t>KAPANEWON</t>
  </si>
  <si>
    <t>KABUPATEN</t>
  </si>
  <si>
    <t>PROPINSI</t>
  </si>
  <si>
    <t>:</t>
  </si>
  <si>
    <t>MELIKAN</t>
  </si>
  <si>
    <t>RONGKOP</t>
  </si>
  <si>
    <t>GUNUNGKIDUL</t>
  </si>
  <si>
    <t>D.I YOGYAKARTA</t>
  </si>
  <si>
    <t>URAIAN</t>
  </si>
  <si>
    <t>NAMA OUTPUT</t>
  </si>
  <si>
    <t>RENCANA</t>
  </si>
  <si>
    <t>VOLUME</t>
  </si>
  <si>
    <t>SATUAN</t>
  </si>
  <si>
    <t>CAPAIAN (%)</t>
  </si>
  <si>
    <t>SUMBER DANA</t>
  </si>
  <si>
    <t>Dana Desa (Rp.)</t>
  </si>
  <si>
    <t>ADD (Rp.)</t>
  </si>
  <si>
    <t>DLL (%)</t>
  </si>
  <si>
    <t>PBH (Rp.)</t>
  </si>
  <si>
    <t>Bentuk Lain (Rp.)</t>
  </si>
  <si>
    <t>Pembinaan/Pemberdayaan kelompok tani/Gapoktan</t>
  </si>
  <si>
    <t>SUPLUS/ (DEFISIT)</t>
  </si>
  <si>
    <t>SILPA Tahun Sebelumnya</t>
  </si>
  <si>
    <t>Pencairan Dana Cadangan</t>
  </si>
  <si>
    <t>Pembentukan Dana Cadangan</t>
  </si>
  <si>
    <t>SELISIH PEMBIAYAAN</t>
  </si>
  <si>
    <t>6.1</t>
  </si>
  <si>
    <t>6.1.1</t>
  </si>
  <si>
    <t>6.1.1.1</t>
  </si>
  <si>
    <t>6.2</t>
  </si>
  <si>
    <t>6.2.1</t>
  </si>
  <si>
    <t>6.2.2.1</t>
  </si>
  <si>
    <t>246 KKS</t>
  </si>
  <si>
    <t>Tercukupinya kebutuhan Siltap dan Tunjangan Kepala Desa</t>
  </si>
  <si>
    <t>Tercukupinya kebutuhan siltap dan tunjangan perangkat desa</t>
  </si>
  <si>
    <t>Tercukupinya subsidi BPJS Kesehatan dan Naker Kades dan Perades</t>
  </si>
  <si>
    <t>Tercukupinya kebutuhan operasional Pemerintah Desa</t>
  </si>
  <si>
    <t>Tercukupinya kebutuhan Tunjangan anggota BPD Desa Melikan</t>
  </si>
  <si>
    <t>Tercukupinya kebutuhan operasional BPD Desa Melikan</t>
  </si>
  <si>
    <t>Tercukupinta tunjangan anggota BPD Desa melikan</t>
  </si>
  <si>
    <t>Tercukupinya insentif RT dan RW Desa Melikan</t>
  </si>
  <si>
    <t>Terlaksananya pengadaan Sound System</t>
  </si>
  <si>
    <t>Tercukupinya kebutuhan servis, suku cadang dan BBM Kendaraan Dinas</t>
  </si>
  <si>
    <t>Terlaksananya servis laptop, CPU, Printer dan mesin ketik desa</t>
  </si>
  <si>
    <t>Terwujudnya data proil desa yang update</t>
  </si>
  <si>
    <t>Terwujudnya data monografi desa semesteran</t>
  </si>
  <si>
    <t>Terlaksananya verval BDT/DTKS (Update data kemiskinan)</t>
  </si>
  <si>
    <t>Terlaksananya musdes RPJMDesa, musdes RKPDesa dan MusrenbangDesa</t>
  </si>
  <si>
    <t>Terlaksananya musdus RPJM</t>
  </si>
  <si>
    <t>Terwujudnya dokumen RPJMDesa dan RKPDesa tepat waktu</t>
  </si>
  <si>
    <t>Terwujudnya dokumen  LPJ APBDesa, APBDesa, dan Perubahan APBDesa</t>
  </si>
  <si>
    <t>Terwujudnya dokumen perdes SOTK dan Kewenangan Desa</t>
  </si>
  <si>
    <t>Terwujudnya dokumen LPPD, LKPD dan IPPD</t>
  </si>
  <si>
    <t>Terpenuhinya kebutuhan honorarium admin dan operator SID, dan pengadaan jaringan internet</t>
  </si>
  <si>
    <t>Terwujudnya dokumen laporan bulanan/ SPJ dan Semesteran</t>
  </si>
  <si>
    <t>Terlaksananya pengisian Kasipel, Dukuh Gebangkulon, Dukuh Melikan dan Staf</t>
  </si>
  <si>
    <t>Terpenuhinya tunjangan purna tugas kamituwo, dan 2 staf pemdes</t>
  </si>
  <si>
    <t>Terlaksananya pensertipikatan tanah milik warga secara massal</t>
  </si>
  <si>
    <t>Terlaksananya pemungutan dan pembayaran PBB tepat waktu dan jumlah</t>
  </si>
  <si>
    <t>Tercukupinya operasional pendidik Paud dan Guru Ngaji</t>
  </si>
  <si>
    <t>Tercukupinya Honor penjaga perpus dan langganan koran</t>
  </si>
  <si>
    <t>Terlaksananya rehabilitasi gedung Paud Ngricik dan Mujing</t>
  </si>
  <si>
    <t>Tercukupinya Op. Posyandu dan insentif kader yandu, Kelas Bumil dan Lansia</t>
  </si>
  <si>
    <t>Terlaksananya pembinaan administrasi posyandu dan kader kesehatan/ KB</t>
  </si>
  <si>
    <t>Tercukupinya operasional Des Siaga dan Operasional Rumah Desa Sehat</t>
  </si>
  <si>
    <t>Terlaksananya pembinaan ibu bayi dan balita stunting</t>
  </si>
  <si>
    <t>Terlaksananya pengadaan tikar pertumbunhan untuk 13 Posyandu</t>
  </si>
  <si>
    <t>Terlaksananya pembentukan posbindu 3 padukuhan desa melikan</t>
  </si>
  <si>
    <t>Terlaksananya kegiatan pembersihan areal jalan poros desa</t>
  </si>
  <si>
    <t>Terlaksananya pemberian PMT bagi balita</t>
  </si>
  <si>
    <t>Tercukupinya kebutuhan operasional dan insenti kader kesehatan/KB Desa Melikan</t>
  </si>
  <si>
    <t>Terlaksananya pembinaan pengelolaan sampah terpadu</t>
  </si>
  <si>
    <t>Pembangunan talud tambak, ngampiran dan mujing, aspal melikan, cor ngaruris</t>
  </si>
  <si>
    <t>Terlaksananya rehabilitasi balai padukuhan Mujing</t>
  </si>
  <si>
    <t>Terlaksananya pembangunan talud makam gebang Kulon</t>
  </si>
  <si>
    <t>Terlaksananya pemberian stimulan RTLH bagi warga kurang mampu Desa Melikan</t>
  </si>
  <si>
    <t>Terlaksananya pengadaan poster dan baliho APBDesa, Perubahan APBDesa, Pertanggungjawaban APBDesa</t>
  </si>
  <si>
    <t>Terlaksananya pembinaan jagawarga</t>
  </si>
  <si>
    <t>Terlaksananya peringatan hari jadi GK dan HUT RI</t>
  </si>
  <si>
    <t>Terlaksananya pembinaan lembaga Karang Taruna Desa Melikan</t>
  </si>
  <si>
    <t>Tercukupinya kebutuhan operasional Karang Taruna Desa Melikan</t>
  </si>
  <si>
    <t>Pembinaan lembaga LPMD Desa Melikan</t>
  </si>
  <si>
    <t>Terlaksananya pembinaan lembaga PKK Desa Melikan</t>
  </si>
  <si>
    <t>Tercukupinya operasional dan insentif KPMD Desa Melikan</t>
  </si>
  <si>
    <t>Tercukupinya kebutuhan operasional dan honorarium TKPKDesa</t>
  </si>
  <si>
    <t>Terlaksananya pencanangan BBGRM dan kerja bakti pembersihan jalan</t>
  </si>
  <si>
    <t>Terlaksananya pembinaan lembaga RT dan RW se Desa Melikan</t>
  </si>
  <si>
    <t>Tercukupinya kebutuhan operasional LPMD Desa Melikan</t>
  </si>
  <si>
    <t>Tercukupinya kebutuhan operasional PKK</t>
  </si>
  <si>
    <t>Terlaksananya 13 kali raat kring padukuhan dan 1 kali pelatihan pembuatan pupuk bokashi</t>
  </si>
  <si>
    <t>Terlaksananya pembinaan BPD Desa Melikan 1 kali</t>
  </si>
  <si>
    <t>Terlaksananya pelatihan aneka kerajinan tangan</t>
  </si>
  <si>
    <t>Terlaksananya pemberian sembako dan bibit kambing bagi kelompok rentan</t>
  </si>
  <si>
    <t>Terlaksananya pembinaan kespro dan pencegahan pernikahan dini bagi remaja</t>
  </si>
  <si>
    <t>Terlaksananya pembinaan kelompok UMKM di Desa Melikan</t>
  </si>
  <si>
    <t>Terlaksananya studi banding dan peningkatan kapasitas pengelola BUMDesa</t>
  </si>
  <si>
    <t>Terlaksananya kegiatan penanggulangan bencana desa</t>
  </si>
  <si>
    <t>Terlaksananya kegiatan penanganan keadaan darurat Desa</t>
  </si>
  <si>
    <t>Terlaksananya kegiatan penanggulangan keadaan mendesak desa</t>
  </si>
  <si>
    <t>LAMPIRAN I</t>
  </si>
  <si>
    <t>Peraturan Desa Melikan Nomor 1 Tahun 2021</t>
  </si>
  <si>
    <t>Tentang Pertanggungjawaban Realisasi APBDes Tahun 2020</t>
  </si>
  <si>
    <t>PEMERINTAH  DESA MELIKAN</t>
  </si>
  <si>
    <t>KECAMATAN RONGKOP KABUPATEN GUNUNGKIDUL</t>
  </si>
  <si>
    <t>PERINCIAN ASET TETAP PER 31 DESEMBER 2020</t>
  </si>
  <si>
    <t xml:space="preserve">KLAS ASET DAN </t>
  </si>
  <si>
    <t>BUKTI KEPEMILIKAN</t>
  </si>
  <si>
    <t>KODE ASET</t>
  </si>
  <si>
    <t>TAHUN</t>
  </si>
  <si>
    <t>NILAI</t>
  </si>
  <si>
    <t>KONDISI</t>
  </si>
  <si>
    <t>KETERANGAN</t>
  </si>
  <si>
    <t>NAMA IDENTITAS ASET TETAP</t>
  </si>
  <si>
    <t>JENIS</t>
  </si>
  <si>
    <t>NOMOR</t>
  </si>
  <si>
    <t>TANGGAL</t>
  </si>
  <si>
    <t>TETAP</t>
  </si>
  <si>
    <t>PEROLEHAN</t>
  </si>
  <si>
    <t>ASET</t>
  </si>
  <si>
    <t>I</t>
  </si>
  <si>
    <t>TANAH</t>
  </si>
  <si>
    <t>II</t>
  </si>
  <si>
    <t>PERALATAN DAN MESIN</t>
  </si>
  <si>
    <t>Almari Kayu</t>
  </si>
  <si>
    <t>1.3.2.06.05</t>
  </si>
  <si>
    <t>B</t>
  </si>
  <si>
    <t>BANTUAN</t>
  </si>
  <si>
    <t>Brank kas</t>
  </si>
  <si>
    <t>31/12/1994</t>
  </si>
  <si>
    <t>1.3.2.06.04</t>
  </si>
  <si>
    <t>Almari</t>
  </si>
  <si>
    <t>31/12/1996</t>
  </si>
  <si>
    <t>Kursi Kayu</t>
  </si>
  <si>
    <t>15/12/2001</t>
  </si>
  <si>
    <t>PAD</t>
  </si>
  <si>
    <t>Meja Tulis Kantor</t>
  </si>
  <si>
    <t>BPD</t>
  </si>
  <si>
    <t>Mesin Ketik</t>
  </si>
  <si>
    <t>1.3.2.06.06</t>
  </si>
  <si>
    <t>RR</t>
  </si>
  <si>
    <t>BSPD</t>
  </si>
  <si>
    <t>Meja Rapat</t>
  </si>
  <si>
    <t>15/10/2003</t>
  </si>
  <si>
    <t>PHBR</t>
  </si>
  <si>
    <t>Meja Komputer</t>
  </si>
  <si>
    <t>13/12/2004</t>
  </si>
  <si>
    <t>RETRIBUSI</t>
  </si>
  <si>
    <t>Kursi Besi</t>
  </si>
  <si>
    <t>15/6/2006</t>
  </si>
  <si>
    <t>ADD</t>
  </si>
  <si>
    <t>Kursi Tamu</t>
  </si>
  <si>
    <t>Gelas Minum</t>
  </si>
  <si>
    <t>1.3.2.07.05</t>
  </si>
  <si>
    <t>Piring Makan</t>
  </si>
  <si>
    <t>Tutup Gelas</t>
  </si>
  <si>
    <t>Tatakan Snack</t>
  </si>
  <si>
    <t>Sendok Makan</t>
  </si>
  <si>
    <t>31/12/2008</t>
  </si>
  <si>
    <t>BHPR</t>
  </si>
  <si>
    <t xml:space="preserve">Printer </t>
  </si>
  <si>
    <t>31/03/2010</t>
  </si>
  <si>
    <t>1.3.2.06.01</t>
  </si>
  <si>
    <t>Televisi/Parabola</t>
  </si>
  <si>
    <t>28/09/2010</t>
  </si>
  <si>
    <t>1.3.2.09.10</t>
  </si>
  <si>
    <t>Molen</t>
  </si>
  <si>
    <t>31/12/2012</t>
  </si>
  <si>
    <t>1.3.2.01. 06</t>
  </si>
  <si>
    <t>SWADAYA</t>
  </si>
  <si>
    <t>Jumlah II dipindahkan</t>
  </si>
  <si>
    <t>Jumlah II pindahan</t>
  </si>
  <si>
    <t>29/9/2013</t>
  </si>
  <si>
    <t>Almari Rak</t>
  </si>
  <si>
    <t>Kursi Kerja</t>
  </si>
  <si>
    <t>27/12/2013</t>
  </si>
  <si>
    <t>Speker Aktive</t>
  </si>
  <si>
    <t>26/11/2014</t>
  </si>
  <si>
    <t>1.3.2.09.08</t>
  </si>
  <si>
    <t>Sepeda Motor R.2</t>
  </si>
  <si>
    <t>18/12/2014</t>
  </si>
  <si>
    <t>1.3.2.02.04</t>
  </si>
  <si>
    <t>HIBAH</t>
  </si>
  <si>
    <t>Laptop</t>
  </si>
  <si>
    <t>30/03/2015</t>
  </si>
  <si>
    <t>1.3.2.08.03</t>
  </si>
  <si>
    <t>Kamera Digital</t>
  </si>
  <si>
    <t>13/11/2015</t>
  </si>
  <si>
    <t>1.3.2.09.01</t>
  </si>
  <si>
    <t>Mesin Jahit</t>
  </si>
  <si>
    <t>1.3.2.11.02</t>
  </si>
  <si>
    <t>Mesin Jahit Juki</t>
  </si>
  <si>
    <t>Mesin Obras</t>
  </si>
  <si>
    <t>Sekat Ruangan</t>
  </si>
  <si>
    <t>23/12/2015</t>
  </si>
  <si>
    <t>SILPA</t>
  </si>
  <si>
    <t>Meja Pelayanan</t>
  </si>
  <si>
    <t>Mejikom</t>
  </si>
  <si>
    <t>31/12/2015</t>
  </si>
  <si>
    <t>1.3.2.7.01</t>
  </si>
  <si>
    <t>Tremos Air</t>
  </si>
  <si>
    <t>Rak Buku Perpustakaan</t>
  </si>
  <si>
    <t>Buku Perpustakaan</t>
  </si>
  <si>
    <t>1.3.5.01.08</t>
  </si>
  <si>
    <t>BABTUAN</t>
  </si>
  <si>
    <t>Pigura Gambar Presiden/WP</t>
  </si>
  <si>
    <t>1.3.5.01.05</t>
  </si>
  <si>
    <t>Garuda Pancasila</t>
  </si>
  <si>
    <t>Umbul umbul Desa</t>
  </si>
  <si>
    <t>31/12/2016</t>
  </si>
  <si>
    <t>Umbul umbul Podang</t>
  </si>
  <si>
    <t>Pilar</t>
  </si>
  <si>
    <t>Bendera Merah Putih</t>
  </si>
  <si>
    <t>Prnter Laserjet</t>
  </si>
  <si>
    <t>Kolkulator</t>
  </si>
  <si>
    <t>1.3.2.06.02</t>
  </si>
  <si>
    <t>Kursi Rapat</t>
  </si>
  <si>
    <t>Kipas Angin</t>
  </si>
  <si>
    <t>1.3.2.07.04</t>
  </si>
  <si>
    <t>Mcropun Wiriles</t>
  </si>
  <si>
    <t>Spiker Aktive</t>
  </si>
  <si>
    <t>HADIAH</t>
  </si>
  <si>
    <t>30/03/2016</t>
  </si>
  <si>
    <t xml:space="preserve">Bener Tupoksi </t>
  </si>
  <si>
    <t>1.3.5.07.02</t>
  </si>
  <si>
    <t xml:space="preserve">Bener Visi Misi Desa </t>
  </si>
  <si>
    <t xml:space="preserve">Bagan S0TK /Data </t>
  </si>
  <si>
    <t>Peta Desa</t>
  </si>
  <si>
    <t>Jam Dinding</t>
  </si>
  <si>
    <t>Alat Pemotong Rumput</t>
  </si>
  <si>
    <t>23/10/2017</t>
  </si>
  <si>
    <t>DLL</t>
  </si>
  <si>
    <t>15/06/2017</t>
  </si>
  <si>
    <t>Kursi Plastik</t>
  </si>
  <si>
    <t>ADD, SILPA</t>
  </si>
  <si>
    <t>Kursi Putar</t>
  </si>
  <si>
    <t>17/11/2017</t>
  </si>
  <si>
    <t>Komputer</t>
  </si>
  <si>
    <t>1.3.2.08.02</t>
  </si>
  <si>
    <t>28/12/2017</t>
  </si>
  <si>
    <t>Rak Buku</t>
  </si>
  <si>
    <t>Umbul Umbul Desa</t>
  </si>
  <si>
    <t>1.3.2.09.05</t>
  </si>
  <si>
    <t>Printer Laserjet</t>
  </si>
  <si>
    <t>23/05/2018</t>
  </si>
  <si>
    <t>Oven Listrik</t>
  </si>
  <si>
    <t>17/12/2018</t>
  </si>
  <si>
    <t>Baskom</t>
  </si>
  <si>
    <t>Mixer</t>
  </si>
  <si>
    <t>Loyang</t>
  </si>
  <si>
    <t>Proyektor/ LCD</t>
  </si>
  <si>
    <t>Lain-lain</t>
  </si>
  <si>
    <t>Komputer Perpustakaan</t>
  </si>
  <si>
    <t>Bantun Perpusnas RI</t>
  </si>
  <si>
    <t>Hand Phone Seluler</t>
  </si>
  <si>
    <t>23/09/2020</t>
  </si>
  <si>
    <t>1.3.2.10.02</t>
  </si>
  <si>
    <t>Sund Sistem</t>
  </si>
  <si>
    <t>25/09/2020</t>
  </si>
  <si>
    <t>ADD , PAD</t>
  </si>
  <si>
    <t>Clinical Thermometer</t>
  </si>
  <si>
    <t>21/12/2020</t>
  </si>
  <si>
    <t>1.3.2.04.04</t>
  </si>
  <si>
    <t>Hibah KPUD Gunungkidul</t>
  </si>
  <si>
    <t>Jaringan Internet</t>
  </si>
  <si>
    <t>29/12/2020</t>
  </si>
  <si>
    <t>1.3.4.05.07</t>
  </si>
  <si>
    <t>JUMLAH II</t>
  </si>
  <si>
    <t>III</t>
  </si>
  <si>
    <t>GEDUNG DAN BANGUNAN</t>
  </si>
  <si>
    <t>Balai Desa</t>
  </si>
  <si>
    <t>1.3.3.01.02</t>
  </si>
  <si>
    <t>Gedung Kantor Desa</t>
  </si>
  <si>
    <t>1.3.3.01.01</t>
  </si>
  <si>
    <t>PAH</t>
  </si>
  <si>
    <t>1.3.4.03.07</t>
  </si>
  <si>
    <t>Garasi Desa</t>
  </si>
  <si>
    <t>1.3.3.07.05</t>
  </si>
  <si>
    <t>Gapura Masuk Padukuhan</t>
  </si>
  <si>
    <t>1.3.3.06.03</t>
  </si>
  <si>
    <t>Ban Prop</t>
  </si>
  <si>
    <t>Pagar/halaman Kantor Desa</t>
  </si>
  <si>
    <t>1.3.3.07.01</t>
  </si>
  <si>
    <t>MCK Balai Padukuhan</t>
  </si>
  <si>
    <t>1.3.3.07.06</t>
  </si>
  <si>
    <t>DD</t>
  </si>
  <si>
    <t>Gedung Pertemuan GUGUS PAUD</t>
  </si>
  <si>
    <t>31/12/2018</t>
  </si>
  <si>
    <t>1.3.3.01.05</t>
  </si>
  <si>
    <t>Papan Nama Kantor Desa</t>
  </si>
  <si>
    <t>Kantor  Desa Melikan</t>
  </si>
  <si>
    <t>30/12/2019</t>
  </si>
  <si>
    <t>ADD dan Bantuan Pemerintah</t>
  </si>
  <si>
    <t>Rehabilitasi Gedung PAUD Kendal</t>
  </si>
  <si>
    <t>23/5/2019</t>
  </si>
  <si>
    <t>Rehabilitasi Gedung PAUD Gebang</t>
  </si>
  <si>
    <t>Jumlah III dipindahkan</t>
  </si>
  <si>
    <t>Jumlah III pindahan</t>
  </si>
  <si>
    <t>Keramik Balai Padukuhan Gebangkulon</t>
  </si>
  <si>
    <t>29/10/2019</t>
  </si>
  <si>
    <t>1.3.3.01.07</t>
  </si>
  <si>
    <t>Rehabilitasi Gedung PAUD Ngricik</t>
  </si>
  <si>
    <t>22/12/2020</t>
  </si>
  <si>
    <t>Rehabilitasi Gedung PAUD Mujing</t>
  </si>
  <si>
    <t>JUMLAH III</t>
  </si>
  <si>
    <t>IV</t>
  </si>
  <si>
    <t>JALAN IRIGASI DAN JARINGAN</t>
  </si>
  <si>
    <t>Jalan Usaha Tani</t>
  </si>
  <si>
    <t>15/09/2011</t>
  </si>
  <si>
    <t>1.3.4.01.01</t>
  </si>
  <si>
    <t>Selokan Jalan Desa</t>
  </si>
  <si>
    <t>30/12/2013</t>
  </si>
  <si>
    <t>1.3.4.01.05</t>
  </si>
  <si>
    <t>31/12/2014</t>
  </si>
  <si>
    <t>Gorong-gorong  Desa</t>
  </si>
  <si>
    <t>Jalan Usaha Tani Dusun Songwaluh</t>
  </si>
  <si>
    <t>26/11/2015</t>
  </si>
  <si>
    <t>Jalan Usaha Tani Dusun Kembang</t>
  </si>
  <si>
    <t>Jalan Usaha Tani Dusun Gebang</t>
  </si>
  <si>
    <t>Talud Jalan Desa ( Kendal )</t>
  </si>
  <si>
    <t>1.3.4.01.04</t>
  </si>
  <si>
    <t>Selokan Belakang Balai Desa Melikan</t>
  </si>
  <si>
    <t>Jalan Permukiman</t>
  </si>
  <si>
    <t>1.3.4.01.02</t>
  </si>
  <si>
    <t>Talud Jalan Desa (Ngicik -Ngampiran)</t>
  </si>
  <si>
    <t>Talud Lokasi Balai Desa</t>
  </si>
  <si>
    <t>31/12/2017</t>
  </si>
  <si>
    <t>Silpa</t>
  </si>
  <si>
    <t>Cor rabat beton jalan lingk. Padk. Kendal</t>
  </si>
  <si>
    <t>14/4/2018</t>
  </si>
  <si>
    <t>Cor rabat beton jalan lingk. Padk. Songwaluh</t>
  </si>
  <si>
    <t>Cor rabat beton jalan lingk. Padk. Jerukgulung</t>
  </si>
  <si>
    <t>Cor rabat beton jalan lingk. Padk. Kembang</t>
  </si>
  <si>
    <t>Cor rabat beton jalan lingk. Padk. Ngampiran</t>
  </si>
  <si>
    <t>Cor rabat beton jalan lingk. Padk. Gebangkulon</t>
  </si>
  <si>
    <t>Cor rabat beton jalan lingk. Padk. Gebangwetan</t>
  </si>
  <si>
    <t>Cor rabat beton jalan lingk. Padk. Wuni</t>
  </si>
  <si>
    <t>Cor rabat beton jalan lingk. Padk. Mujing</t>
  </si>
  <si>
    <t>Talud Jalan lingkungan Padk. Dondong</t>
  </si>
  <si>
    <t>Talud Jalan lingkungan Padk. Tambak</t>
  </si>
  <si>
    <t>Talud Jalan lingkungan Padk. Ngricik</t>
  </si>
  <si>
    <t>Talud Jalan lingkungan Padk. Melikan</t>
  </si>
  <si>
    <t>cor rabat beton jalan menuju makam Tambak</t>
  </si>
  <si>
    <t>31/07/2018</t>
  </si>
  <si>
    <t>1.3.4.01.03</t>
  </si>
  <si>
    <t>cor rabat beton jalan menuju makam Jerukgulung</t>
  </si>
  <si>
    <t>cor rabat beton jalan menuju makam Gebangkulon</t>
  </si>
  <si>
    <t>Talud Jalan Desa  ( Kendal)</t>
  </si>
  <si>
    <t>14/12/2018</t>
  </si>
  <si>
    <t>Talud Jalan Desa  ( Songwaluh)</t>
  </si>
  <si>
    <t>28/9/2018</t>
  </si>
  <si>
    <t>Talud Jalan Desa  ( Kembang)</t>
  </si>
  <si>
    <t>Jumlah IV dipindahkan</t>
  </si>
  <si>
    <t>Jumlah IV pindahan</t>
  </si>
  <si>
    <t>Cor rabat beton jalan lingk. Padk. Melikan</t>
  </si>
  <si>
    <t>Cor rabat beton jalan JUT Padukuhan  Wuni</t>
  </si>
  <si>
    <t>19/11/2019</t>
  </si>
  <si>
    <t xml:space="preserve">Cor rabat beton jalan JUT Padukuhan Kembang </t>
  </si>
  <si>
    <t>27/12/2019</t>
  </si>
  <si>
    <t>Cor rabat beton jalan menuju makam Kendal</t>
  </si>
  <si>
    <t>Cor rabat beton Saban Wuni TMMD</t>
  </si>
  <si>
    <t>28/10/2019</t>
  </si>
  <si>
    <t>Talud Jalan Desa ( Kembang )</t>
  </si>
  <si>
    <t>Talud Jalan Desa ( Melikan )</t>
  </si>
  <si>
    <t>Talud Jalan Desa  (Jerukgulung )</t>
  </si>
  <si>
    <t>Talud Jalan Lingk. Padk. Dondong</t>
  </si>
  <si>
    <t>Talud Jalan Lingk. Padk. Ngricik</t>
  </si>
  <si>
    <t>Selokan Tambak</t>
  </si>
  <si>
    <t>Portal Jalan</t>
  </si>
  <si>
    <t>30/04/2020</t>
  </si>
  <si>
    <t>1.3.4.04.06</t>
  </si>
  <si>
    <t>20/05/2020</t>
  </si>
  <si>
    <t>Talud Makam Gebang</t>
  </si>
  <si>
    <t>Talud Lokasi PAUD Mujing</t>
  </si>
  <si>
    <t>JUMLAH IV</t>
  </si>
  <si>
    <t>V</t>
  </si>
  <si>
    <t>ASET TETAP LAINNYA</t>
  </si>
  <si>
    <t>VI</t>
  </si>
  <si>
    <t>KONTRUKSI DALAM PENGERJAAN</t>
  </si>
  <si>
    <t>JUMLAH I+II+III+IV+V+VI</t>
  </si>
  <si>
    <t>AGUS SUMARNO, A.Md.</t>
  </si>
  <si>
    <t>Melikan,      Januari 2021</t>
  </si>
  <si>
    <t>Talud Jalan Desa Jalur Tambak - Ngampiran</t>
  </si>
  <si>
    <t>Talud Jalan Desa Jalur Ngampiran</t>
  </si>
  <si>
    <t>Talud Jalan Desa Jalur Mujing</t>
  </si>
  <si>
    <t>REALISASI ANGGARAN</t>
  </si>
  <si>
    <t>LEBIH/ KURANG</t>
  </si>
  <si>
    <t>URAIAN / PROGRAM / KEGIATAN</t>
  </si>
  <si>
    <t>Pembinaan/Pemberdayaan kelompok tani/GapNovan</t>
  </si>
  <si>
    <t>Melikan, 31  Desember 2020</t>
  </si>
  <si>
    <t>AGUS SUMARNO,A.Md</t>
  </si>
  <si>
    <t>PEMERINTAH DESA MELIKAN TAHUN ANGGARAN 2020</t>
  </si>
  <si>
    <t>ANGGARAN SETELAH PERUBAHAN</t>
  </si>
  <si>
    <t>LAPORAN PELAKSANAAN ANGGARAN PENDAPATAN DAN BELANJA KALURAHAN  SEMESTER KEDUA                                                                       SEMESTER KEDUA</t>
  </si>
  <si>
    <t>Penambahan Aset Kalurahan Melikan pada tahun 2020 didapat dari belanja modal APBKal TA 2020 sebesar Rp. 450.969.580,00, ditambah hibah aset termogun 12 unit dari KPU sebesar Rp. 1.416.980,00 ditambah hibah buku, rak dan kompoter dari perpusnas kepada perpusdes sebesar Rp. 106.188.910,00 dan dikurangi penghapusan aset sesuai SK Penghapusan aset sebesar Rp. 72.552.750,00</t>
  </si>
  <si>
    <t>Melikan,  20   Januari 2021</t>
  </si>
  <si>
    <t>Melikan,   20 Januari 2021</t>
  </si>
  <si>
    <t>106 KPM</t>
  </si>
  <si>
    <t>JUMLAH</t>
  </si>
  <si>
    <t>Ket:</t>
  </si>
  <si>
    <t>1. Jaringan internet pindah dari sub peralatan dan mesin ke jalan, irigasi dan jaringan</t>
  </si>
  <si>
    <t>2. buku perpus pindah dari peralatan dan mesin ke aset tetap lainnya</t>
  </si>
  <si>
    <t>LAPORAN REALISASI ANGGARAN PENDAPATAN DAN BELANJA KALURAHAN TAHUN ANGGARAN 2020</t>
  </si>
  <si>
    <t xml:space="preserve"> ANGGARAN PENDAPATAN DAN BELANJA KALURAHAN TAHUN ANGGARAN 2020</t>
  </si>
  <si>
    <t>Melikan, 11 September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</si>
</sst>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_(* \(#,##0\);_(* &quot;-&quot;_);_(@_)"/>
    <numFmt numFmtId="165" formatCode="_(* #,##0.00_);_(* \(#,##0.00\);_(* &quot;-&quot;??_);_(@_)"/>
    <numFmt numFmtId="166" formatCode="_(* #,##0.00_);_(* \(#,##0.00\);_(* &quot;-&quot;_);_(@_)"/>
    <numFmt numFmtId="167" formatCode="0.00;[Red]0.00"/>
    <numFmt numFmtId="168" formatCode="#,##0.00;[Red]#,##0.00"/>
  </numFmts>
  <fonts count="44" x14ac:knownFonts="1">
    <font>
      <sz val="11"/>
      <color theme="1"/>
      <name val="Calibri"/>
      <family val="2"/>
      <charset val="1"/>
      <scheme val="minor"/>
    </font>
    <font>
      <sz val="11"/>
      <color theme="1"/>
      <name val="Calibri"/>
      <family val="2"/>
      <scheme val="minor"/>
    </font>
    <font>
      <u/>
      <sz val="9.5"/>
      <color theme="1"/>
      <name val="Georgia"/>
      <family val="1"/>
    </font>
    <font>
      <sz val="11"/>
      <color theme="1"/>
      <name val="Calibri"/>
      <family val="2"/>
      <charset val="1"/>
      <scheme val="minor"/>
    </font>
    <font>
      <b/>
      <sz val="11"/>
      <color theme="1"/>
      <name val="Calibri"/>
      <family val="2"/>
      <charset val="1"/>
      <scheme val="minor"/>
    </font>
    <font>
      <b/>
      <sz val="11"/>
      <color theme="1"/>
      <name val="Calibri"/>
      <family val="2"/>
      <scheme val="minor"/>
    </font>
    <font>
      <sz val="9"/>
      <color rgb="FF000000"/>
      <name val="Arial"/>
      <family val="2"/>
    </font>
    <font>
      <sz val="12"/>
      <color theme="1"/>
      <name val="Arial Narrow"/>
      <family val="2"/>
    </font>
    <font>
      <b/>
      <sz val="12"/>
      <color theme="1"/>
      <name val="Arial Narrow"/>
      <family val="2"/>
    </font>
    <font>
      <sz val="11"/>
      <color theme="1"/>
      <name val="Bookman Old Style"/>
      <family val="1"/>
    </font>
    <font>
      <b/>
      <u/>
      <sz val="12"/>
      <color theme="1"/>
      <name val="Arial Narrow"/>
      <family val="2"/>
    </font>
    <font>
      <sz val="12"/>
      <color theme="1"/>
      <name val="Bookman Old Style"/>
      <family val="1"/>
    </font>
    <font>
      <u/>
      <sz val="12"/>
      <color theme="1"/>
      <name val="Bookman Old Style"/>
      <family val="1"/>
    </font>
    <font>
      <b/>
      <sz val="12"/>
      <color theme="1"/>
      <name val="Bookman Old Style"/>
      <family val="1"/>
    </font>
    <font>
      <sz val="12"/>
      <color rgb="FF000000"/>
      <name val="Bookman Old Style"/>
      <family val="1"/>
    </font>
    <font>
      <sz val="12"/>
      <name val="Bookman Old Style"/>
      <family val="1"/>
    </font>
    <font>
      <b/>
      <sz val="12"/>
      <name val="Bookman Old Style"/>
      <family val="1"/>
    </font>
    <font>
      <b/>
      <sz val="11"/>
      <color theme="0"/>
      <name val="Calibri"/>
      <family val="2"/>
      <charset val="1"/>
      <scheme val="minor"/>
    </font>
    <font>
      <sz val="11"/>
      <color theme="0"/>
      <name val="Calibri"/>
      <family val="2"/>
      <charset val="1"/>
      <scheme val="minor"/>
    </font>
    <font>
      <b/>
      <sz val="11"/>
      <color indexed="8"/>
      <name val="Bookman Old Style"/>
      <family val="1"/>
    </font>
    <font>
      <sz val="11"/>
      <color indexed="8"/>
      <name val="Bookman Old Style"/>
      <family val="1"/>
    </font>
    <font>
      <b/>
      <i/>
      <sz val="11"/>
      <color indexed="8"/>
      <name val="Bookman Old Style"/>
      <family val="1"/>
    </font>
    <font>
      <b/>
      <sz val="11"/>
      <color theme="1"/>
      <name val="Bookman Old Style"/>
      <family val="1"/>
    </font>
    <font>
      <sz val="8"/>
      <color indexed="8"/>
      <name val="Bookman Old Style"/>
      <family val="1"/>
    </font>
    <font>
      <sz val="8"/>
      <color theme="1"/>
      <name val="Calibri"/>
      <family val="2"/>
      <charset val="1"/>
      <scheme val="minor"/>
    </font>
    <font>
      <sz val="11"/>
      <color theme="0"/>
      <name val="Bookman Old Style"/>
      <family val="1"/>
    </font>
    <font>
      <sz val="8"/>
      <color theme="0"/>
      <name val="Arial"/>
      <family val="2"/>
    </font>
    <font>
      <b/>
      <sz val="9"/>
      <color theme="0"/>
      <name val="Arial"/>
      <family val="2"/>
    </font>
    <font>
      <b/>
      <i/>
      <sz val="9"/>
      <color theme="0"/>
      <name val="Arial"/>
      <family val="2"/>
    </font>
    <font>
      <sz val="9"/>
      <color theme="0"/>
      <name val="Arial"/>
      <family val="2"/>
    </font>
    <font>
      <b/>
      <sz val="10"/>
      <color theme="0"/>
      <name val="Arial"/>
      <family val="2"/>
    </font>
    <font>
      <b/>
      <i/>
      <sz val="10"/>
      <color theme="0"/>
      <name val="Arial"/>
      <family val="2"/>
    </font>
    <font>
      <sz val="12"/>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name val="Calibri"/>
      <family val="2"/>
      <scheme val="minor"/>
    </font>
    <font>
      <b/>
      <i/>
      <sz val="12"/>
      <color theme="1"/>
      <name val="Calibri"/>
      <family val="2"/>
      <scheme val="minor"/>
    </font>
    <font>
      <b/>
      <sz val="12"/>
      <color theme="1"/>
      <name val="Times New Roman"/>
      <family val="1"/>
    </font>
    <font>
      <b/>
      <sz val="10"/>
      <color indexed="8"/>
      <name val="Arial"/>
      <family val="2"/>
    </font>
    <font>
      <b/>
      <sz val="10"/>
      <color theme="1"/>
      <name val="Arial"/>
      <family val="2"/>
    </font>
    <font>
      <sz val="10"/>
      <color theme="1"/>
      <name val="Arial"/>
      <family val="2"/>
    </font>
    <font>
      <sz val="10"/>
      <color indexed="8"/>
      <name val="Arial"/>
      <family val="2"/>
    </font>
    <font>
      <b/>
      <i/>
      <sz val="10"/>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right style="thin">
        <color auto="1"/>
      </right>
      <top style="hair">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s>
  <cellStyleXfs count="3">
    <xf numFmtId="0" fontId="0" fillId="0" borderId="0"/>
    <xf numFmtId="164" fontId="3" fillId="0" borderId="0" applyFont="0" applyFill="0" applyBorder="0" applyAlignment="0" applyProtection="0"/>
    <xf numFmtId="43" fontId="3" fillId="0" borderId="0" applyFont="0" applyFill="0" applyBorder="0" applyAlignment="0" applyProtection="0"/>
  </cellStyleXfs>
  <cellXfs count="555">
    <xf numFmtId="0" fontId="0" fillId="0" borderId="0" xfId="0"/>
    <xf numFmtId="0" fontId="2" fillId="0" borderId="0" xfId="0" applyFont="1" applyAlignment="1">
      <alignment horizontal="left" indent="5"/>
    </xf>
    <xf numFmtId="0" fontId="0" fillId="0" borderId="0" xfId="0" applyAlignment="1"/>
    <xf numFmtId="0" fontId="2" fillId="0" borderId="0" xfId="0" applyFont="1" applyAlignment="1"/>
    <xf numFmtId="165" fontId="0" fillId="0" borderId="0" xfId="0" applyNumberFormat="1"/>
    <xf numFmtId="165" fontId="5" fillId="0" borderId="0" xfId="0" applyNumberFormat="1" applyFont="1"/>
    <xf numFmtId="0" fontId="4" fillId="0" borderId="0" xfId="0" applyFont="1" applyAlignment="1">
      <alignment horizontal="center"/>
    </xf>
    <xf numFmtId="0" fontId="5" fillId="0" borderId="0" xfId="0" applyFont="1"/>
    <xf numFmtId="164" fontId="6" fillId="0" borderId="0" xfId="1" applyFont="1" applyFill="1" applyBorder="1" applyAlignment="1">
      <alignment horizontal="left" vertical="center"/>
    </xf>
    <xf numFmtId="164" fontId="0" fillId="0" borderId="0" xfId="0" applyNumberFormat="1"/>
    <xf numFmtId="164" fontId="0" fillId="0" borderId="0" xfId="1" applyFont="1"/>
    <xf numFmtId="0" fontId="0" fillId="0" borderId="0" xfId="0" applyAlignment="1">
      <alignment vertical="center"/>
    </xf>
    <xf numFmtId="166" fontId="0" fillId="0" borderId="0" xfId="1" applyNumberFormat="1" applyFont="1"/>
    <xf numFmtId="0" fontId="4" fillId="0" borderId="0" xfId="0" applyFont="1"/>
    <xf numFmtId="0" fontId="9" fillId="0" borderId="0" xfId="0" applyFont="1"/>
    <xf numFmtId="165" fontId="9" fillId="0" borderId="0" xfId="0" applyNumberFormat="1" applyFont="1"/>
    <xf numFmtId="0" fontId="1" fillId="0" borderId="0" xfId="0" applyFont="1"/>
    <xf numFmtId="0" fontId="0" fillId="0" borderId="0" xfId="0" applyFont="1"/>
    <xf numFmtId="0" fontId="7" fillId="0" borderId="4" xfId="0" applyFont="1" applyBorder="1"/>
    <xf numFmtId="0" fontId="7" fillId="0" borderId="5" xfId="0" applyFont="1" applyBorder="1"/>
    <xf numFmtId="166" fontId="7" fillId="0" borderId="5" xfId="1" applyNumberFormat="1" applyFont="1" applyBorder="1"/>
    <xf numFmtId="166" fontId="7" fillId="0" borderId="6" xfId="1" applyNumberFormat="1" applyFont="1" applyBorder="1"/>
    <xf numFmtId="0" fontId="7" fillId="0" borderId="10" xfId="0" applyFont="1" applyBorder="1"/>
    <xf numFmtId="0" fontId="7" fillId="0" borderId="11" xfId="0" applyFont="1" applyBorder="1"/>
    <xf numFmtId="166" fontId="7" fillId="0" borderId="11" xfId="1" applyNumberFormat="1" applyFont="1" applyBorder="1"/>
    <xf numFmtId="166" fontId="7" fillId="0" borderId="17" xfId="1" applyNumberFormat="1" applyFont="1" applyBorder="1"/>
    <xf numFmtId="166" fontId="7" fillId="0" borderId="9" xfId="1" applyNumberFormat="1" applyFont="1" applyBorder="1"/>
    <xf numFmtId="0" fontId="8" fillId="0" borderId="10" xfId="0" applyFont="1" applyBorder="1"/>
    <xf numFmtId="0" fontId="8" fillId="0" borderId="11" xfId="0" applyFont="1" applyBorder="1"/>
    <xf numFmtId="166" fontId="8" fillId="0" borderId="15" xfId="1" applyNumberFormat="1" applyFont="1" applyBorder="1"/>
    <xf numFmtId="166" fontId="8" fillId="0" borderId="16" xfId="1" applyNumberFormat="1" applyFont="1" applyBorder="1"/>
    <xf numFmtId="166" fontId="7" fillId="0" borderId="12" xfId="1" applyNumberFormat="1" applyFont="1" applyBorder="1"/>
    <xf numFmtId="0" fontId="7" fillId="0" borderId="11" xfId="0" applyFont="1" applyBorder="1" applyAlignment="1"/>
    <xf numFmtId="166" fontId="7" fillId="0" borderId="18" xfId="1" applyNumberFormat="1" applyFont="1" applyBorder="1"/>
    <xf numFmtId="0" fontId="8" fillId="0" borderId="13" xfId="0" applyFont="1" applyBorder="1"/>
    <xf numFmtId="0" fontId="8" fillId="0" borderId="14" xfId="0" applyFont="1" applyBorder="1"/>
    <xf numFmtId="0" fontId="7" fillId="0" borderId="11" xfId="0" applyFont="1" applyBorder="1" applyAlignment="1">
      <alignment wrapText="1"/>
    </xf>
    <xf numFmtId="166" fontId="8" fillId="0" borderId="15" xfId="1" applyNumberFormat="1" applyFont="1" applyBorder="1" applyAlignment="1">
      <alignment horizontal="center" vertical="center"/>
    </xf>
    <xf numFmtId="166" fontId="8" fillId="0" borderId="16" xfId="1" applyNumberFormat="1" applyFont="1" applyBorder="1" applyAlignment="1">
      <alignment horizontal="center" vertical="center" wrapText="1"/>
    </xf>
    <xf numFmtId="0" fontId="8" fillId="0" borderId="0" xfId="0" applyFont="1" applyBorder="1"/>
    <xf numFmtId="166" fontId="8" fillId="0" borderId="0" xfId="1" applyNumberFormat="1" applyFont="1" applyBorder="1"/>
    <xf numFmtId="166" fontId="8" fillId="0" borderId="9" xfId="1" applyNumberFormat="1" applyFont="1" applyBorder="1" applyAlignment="1">
      <alignment vertical="top" wrapText="1"/>
    </xf>
    <xf numFmtId="166" fontId="8" fillId="0" borderId="11" xfId="1" applyNumberFormat="1" applyFont="1" applyBorder="1"/>
    <xf numFmtId="166" fontId="8" fillId="0" borderId="12" xfId="1" applyNumberFormat="1" applyFont="1" applyBorder="1"/>
    <xf numFmtId="0" fontId="0" fillId="0" borderId="7" xfId="0" applyBorder="1"/>
    <xf numFmtId="166" fontId="0" fillId="0" borderId="7" xfId="1" applyNumberFormat="1" applyFont="1" applyBorder="1"/>
    <xf numFmtId="0" fontId="10" fillId="0" borderId="15" xfId="0" applyFont="1" applyBorder="1" applyAlignment="1">
      <alignment horizontal="center" vertical="center"/>
    </xf>
    <xf numFmtId="43" fontId="0" fillId="0" borderId="0" xfId="0" applyNumberFormat="1"/>
    <xf numFmtId="43" fontId="0" fillId="0" borderId="0" xfId="0" applyNumberFormat="1" applyFont="1"/>
    <xf numFmtId="164" fontId="4" fillId="0" borderId="0" xfId="1" applyFont="1" applyAlignment="1">
      <alignment horizontal="center"/>
    </xf>
    <xf numFmtId="164" fontId="5" fillId="0" borderId="0" xfId="1" applyFont="1"/>
    <xf numFmtId="164" fontId="0" fillId="0" borderId="0" xfId="1" applyFont="1" applyAlignment="1">
      <alignment vertical="center"/>
    </xf>
    <xf numFmtId="164" fontId="0" fillId="0" borderId="0" xfId="1" applyFont="1" applyAlignment="1"/>
    <xf numFmtId="164" fontId="0" fillId="0" borderId="0" xfId="1" applyFont="1" applyAlignment="1">
      <alignment horizontal="left"/>
    </xf>
    <xf numFmtId="164" fontId="1" fillId="2" borderId="7" xfId="1" applyFont="1" applyFill="1" applyBorder="1" applyAlignment="1"/>
    <xf numFmtId="164" fontId="1" fillId="2" borderId="0" xfId="1" applyFont="1" applyFill="1" applyBorder="1" applyAlignment="1"/>
    <xf numFmtId="164" fontId="0" fillId="0" borderId="7" xfId="1" applyFont="1" applyBorder="1" applyAlignment="1"/>
    <xf numFmtId="164" fontId="0" fillId="0" borderId="0" xfId="1" applyFont="1" applyBorder="1" applyAlignment="1"/>
    <xf numFmtId="0" fontId="11" fillId="0" borderId="0" xfId="0" applyFont="1" applyAlignment="1">
      <alignment vertical="center"/>
    </xf>
    <xf numFmtId="0" fontId="11" fillId="0" borderId="0" xfId="0" applyFont="1"/>
    <xf numFmtId="0" fontId="11" fillId="0" borderId="0" xfId="0" applyNumberFormat="1" applyFont="1"/>
    <xf numFmtId="166" fontId="11" fillId="0" borderId="0" xfId="1" applyNumberFormat="1" applyFont="1"/>
    <xf numFmtId="165" fontId="11" fillId="0" borderId="0" xfId="0" applyNumberFormat="1" applyFont="1" applyAlignment="1">
      <alignment horizontal="center"/>
    </xf>
    <xf numFmtId="165" fontId="11" fillId="0" borderId="0" xfId="0" applyNumberFormat="1" applyFont="1"/>
    <xf numFmtId="165" fontId="11" fillId="0" borderId="0" xfId="0" applyNumberFormat="1" applyFont="1" applyAlignment="1">
      <alignment horizontal="center" wrapText="1"/>
    </xf>
    <xf numFmtId="165" fontId="11" fillId="0" borderId="7" xfId="1" applyNumberFormat="1" applyFont="1" applyBorder="1"/>
    <xf numFmtId="0" fontId="11" fillId="0" borderId="0" xfId="0" applyNumberFormat="1" applyFont="1" applyAlignment="1"/>
    <xf numFmtId="165" fontId="11" fillId="0" borderId="0" xfId="0" applyNumberFormat="1" applyFont="1" applyAlignment="1"/>
    <xf numFmtId="0" fontId="11" fillId="0" borderId="0" xfId="0" applyNumberFormat="1" applyFont="1" applyAlignment="1">
      <alignment horizontal="left" wrapText="1"/>
    </xf>
    <xf numFmtId="165" fontId="11" fillId="0" borderId="0" xfId="0" applyNumberFormat="1" applyFont="1" applyAlignment="1">
      <alignment horizontal="left" wrapText="1"/>
    </xf>
    <xf numFmtId="39" fontId="11" fillId="0" borderId="0" xfId="1" applyNumberFormat="1" applyFont="1" applyAlignment="1"/>
    <xf numFmtId="39" fontId="11" fillId="0" borderId="7" xfId="1" applyNumberFormat="1" applyFont="1" applyBorder="1" applyAlignment="1"/>
    <xf numFmtId="165" fontId="11" fillId="0" borderId="0" xfId="0" applyNumberFormat="1" applyFont="1" applyBorder="1" applyAlignment="1">
      <alignment horizontal="center"/>
    </xf>
    <xf numFmtId="165" fontId="12" fillId="0" borderId="0" xfId="0" applyNumberFormat="1" applyFont="1" applyAlignment="1">
      <alignment horizontal="left" indent="5"/>
    </xf>
    <xf numFmtId="165" fontId="12" fillId="0" borderId="0" xfId="0" applyNumberFormat="1" applyFont="1" applyAlignment="1">
      <alignment horizontal="center"/>
    </xf>
    <xf numFmtId="165" fontId="11" fillId="0" borderId="0" xfId="0" applyNumberFormat="1" applyFont="1" applyBorder="1"/>
    <xf numFmtId="0" fontId="11" fillId="0" borderId="0" xfId="0" applyNumberFormat="1" applyFont="1" applyAlignment="1">
      <alignment wrapText="1"/>
    </xf>
    <xf numFmtId="165" fontId="11" fillId="0" borderId="0" xfId="0" applyNumberFormat="1" applyFont="1" applyAlignment="1">
      <alignment wrapText="1"/>
    </xf>
    <xf numFmtId="39" fontId="11" fillId="0" borderId="7" xfId="0" applyNumberFormat="1" applyFont="1" applyBorder="1"/>
    <xf numFmtId="166" fontId="9" fillId="0" borderId="0" xfId="1" applyNumberFormat="1" applyFont="1"/>
    <xf numFmtId="165" fontId="9" fillId="0" borderId="0" xfId="0" applyNumberFormat="1" applyFont="1" applyAlignment="1">
      <alignment horizontal="center"/>
    </xf>
    <xf numFmtId="166" fontId="11" fillId="0" borderId="15" xfId="1" applyNumberFormat="1" applyFont="1" applyBorder="1" applyAlignment="1">
      <alignment horizontal="center"/>
    </xf>
    <xf numFmtId="165" fontId="11" fillId="0" borderId="15" xfId="0" applyNumberFormat="1" applyFont="1" applyBorder="1" applyAlignment="1">
      <alignment horizontal="center"/>
    </xf>
    <xf numFmtId="4" fontId="11" fillId="0" borderId="0" xfId="0" applyNumberFormat="1" applyFont="1" applyAlignment="1">
      <alignment horizontal="right"/>
    </xf>
    <xf numFmtId="167" fontId="11" fillId="0" borderId="0" xfId="1" applyNumberFormat="1" applyFont="1"/>
    <xf numFmtId="167" fontId="11" fillId="0" borderId="0" xfId="0" applyNumberFormat="1" applyFont="1" applyAlignment="1">
      <alignment horizontal="center" wrapText="1"/>
    </xf>
    <xf numFmtId="168" fontId="11" fillId="0" borderId="0" xfId="0" applyNumberFormat="1" applyFont="1"/>
    <xf numFmtId="4" fontId="11" fillId="0" borderId="0" xfId="0" applyNumberFormat="1" applyFont="1" applyAlignment="1"/>
    <xf numFmtId="166" fontId="11" fillId="0" borderId="7" xfId="1" applyNumberFormat="1" applyFont="1" applyBorder="1"/>
    <xf numFmtId="165" fontId="11" fillId="0" borderId="7" xfId="0" applyNumberFormat="1" applyFont="1" applyBorder="1"/>
    <xf numFmtId="0" fontId="13" fillId="0" borderId="0" xfId="0" applyFont="1" applyAlignment="1">
      <alignment horizontal="center"/>
    </xf>
    <xf numFmtId="0" fontId="13" fillId="0" borderId="0" xfId="0" applyNumberFormat="1" applyFont="1" applyAlignment="1">
      <alignment horizontal="center"/>
    </xf>
    <xf numFmtId="166" fontId="13" fillId="0" borderId="15" xfId="1" applyNumberFormat="1" applyFont="1" applyBorder="1" applyAlignment="1">
      <alignment horizontal="center"/>
    </xf>
    <xf numFmtId="165" fontId="13" fillId="0" borderId="15" xfId="0" applyNumberFormat="1" applyFont="1" applyBorder="1" applyAlignment="1">
      <alignment horizontal="center"/>
    </xf>
    <xf numFmtId="0" fontId="11" fillId="0" borderId="0" xfId="0" applyNumberFormat="1" applyFont="1" applyAlignment="1">
      <alignment horizontal="left"/>
    </xf>
    <xf numFmtId="166" fontId="13" fillId="0" borderId="0" xfId="1" applyNumberFormat="1" applyFont="1" applyBorder="1" applyAlignment="1">
      <alignment horizontal="center"/>
    </xf>
    <xf numFmtId="165" fontId="13" fillId="0" borderId="0" xfId="0" applyNumberFormat="1" applyFont="1" applyBorder="1" applyAlignment="1">
      <alignment horizontal="center"/>
    </xf>
    <xf numFmtId="0" fontId="13" fillId="0" borderId="0" xfId="0" applyFont="1"/>
    <xf numFmtId="166" fontId="13" fillId="0" borderId="15" xfId="1" applyNumberFormat="1" applyFont="1" applyBorder="1"/>
    <xf numFmtId="165" fontId="13" fillId="0" borderId="15" xfId="0" applyNumberFormat="1" applyFont="1" applyBorder="1"/>
    <xf numFmtId="165" fontId="13" fillId="0" borderId="0" xfId="0" applyNumberFormat="1" applyFont="1" applyAlignment="1">
      <alignment horizontal="center"/>
    </xf>
    <xf numFmtId="166" fontId="13" fillId="0" borderId="0" xfId="1" applyNumberFormat="1" applyFont="1"/>
    <xf numFmtId="165" fontId="13" fillId="0" borderId="0" xfId="0" applyNumberFormat="1" applyFont="1"/>
    <xf numFmtId="165" fontId="11" fillId="0" borderId="0" xfId="0" applyNumberFormat="1" applyFont="1" applyAlignment="1">
      <alignment horizontal="left"/>
    </xf>
    <xf numFmtId="39" fontId="11" fillId="0" borderId="0" xfId="0" applyNumberFormat="1" applyFont="1"/>
    <xf numFmtId="39" fontId="13" fillId="0" borderId="15" xfId="0" applyNumberFormat="1" applyFont="1" applyBorder="1"/>
    <xf numFmtId="166" fontId="13" fillId="0" borderId="0" xfId="1" applyNumberFormat="1" applyFont="1" applyBorder="1"/>
    <xf numFmtId="165" fontId="13" fillId="0" borderId="0" xfId="0" applyNumberFormat="1" applyFont="1" applyBorder="1"/>
    <xf numFmtId="166" fontId="11" fillId="0" borderId="15" xfId="1" applyNumberFormat="1" applyFont="1" applyBorder="1"/>
    <xf numFmtId="165" fontId="11" fillId="0" borderId="15" xfId="0" applyNumberFormat="1" applyFont="1" applyBorder="1"/>
    <xf numFmtId="39" fontId="11" fillId="0" borderId="15" xfId="0" applyNumberFormat="1" applyFont="1" applyBorder="1"/>
    <xf numFmtId="39" fontId="11" fillId="0" borderId="0" xfId="1" applyNumberFormat="1" applyFont="1"/>
    <xf numFmtId="39" fontId="13" fillId="0" borderId="15" xfId="1" applyNumberFormat="1" applyFont="1" applyBorder="1"/>
    <xf numFmtId="168" fontId="11" fillId="0" borderId="0" xfId="1" applyNumberFormat="1" applyFont="1"/>
    <xf numFmtId="168" fontId="11" fillId="0" borderId="0" xfId="0" applyNumberFormat="1" applyFont="1" applyAlignment="1">
      <alignment horizontal="center" wrapText="1"/>
    </xf>
    <xf numFmtId="168" fontId="11" fillId="0" borderId="7" xfId="1" applyNumberFormat="1" applyFont="1" applyBorder="1"/>
    <xf numFmtId="168" fontId="11" fillId="0" borderId="7" xfId="0" applyNumberFormat="1" applyFont="1" applyBorder="1"/>
    <xf numFmtId="168" fontId="13" fillId="0" borderId="15" xfId="1" applyNumberFormat="1" applyFont="1" applyBorder="1"/>
    <xf numFmtId="168" fontId="13" fillId="0" borderId="15" xfId="0" applyNumberFormat="1" applyFont="1" applyBorder="1"/>
    <xf numFmtId="39" fontId="13" fillId="0" borderId="0" xfId="0" applyNumberFormat="1" applyFont="1" applyBorder="1"/>
    <xf numFmtId="166" fontId="11" fillId="0" borderId="15" xfId="1" applyNumberFormat="1" applyFont="1" applyBorder="1" applyAlignment="1">
      <alignment horizontal="center" vertical="center"/>
    </xf>
    <xf numFmtId="165" fontId="11" fillId="0" borderId="15" xfId="0" applyNumberFormat="1" applyFont="1" applyBorder="1" applyAlignment="1">
      <alignment horizontal="center" vertical="center"/>
    </xf>
    <xf numFmtId="168" fontId="11" fillId="0" borderId="0" xfId="1" applyNumberFormat="1" applyFont="1" applyAlignment="1"/>
    <xf numFmtId="168" fontId="11" fillId="0" borderId="0" xfId="0" applyNumberFormat="1" applyFont="1" applyAlignment="1"/>
    <xf numFmtId="0" fontId="11" fillId="0" borderId="0" xfId="0" applyFont="1" applyAlignment="1"/>
    <xf numFmtId="166" fontId="11" fillId="0" borderId="0" xfId="1" applyNumberFormat="1" applyFont="1" applyAlignment="1"/>
    <xf numFmtId="166" fontId="11" fillId="0" borderId="7" xfId="1" applyNumberFormat="1" applyFont="1" applyBorder="1" applyAlignment="1"/>
    <xf numFmtId="165" fontId="11" fillId="0" borderId="7" xfId="0" applyNumberFormat="1" applyFont="1" applyBorder="1" applyAlignment="1"/>
    <xf numFmtId="166" fontId="13" fillId="0" borderId="15" xfId="1" applyNumberFormat="1" applyFont="1" applyBorder="1" applyAlignment="1"/>
    <xf numFmtId="165" fontId="13" fillId="0" borderId="15" xfId="0" applyNumberFormat="1" applyFont="1" applyBorder="1" applyAlignment="1"/>
    <xf numFmtId="166" fontId="13" fillId="0" borderId="0" xfId="1" applyNumberFormat="1" applyFont="1" applyBorder="1" applyAlignment="1"/>
    <xf numFmtId="165" fontId="13" fillId="0" borderId="0" xfId="0" applyNumberFormat="1" applyFont="1" applyBorder="1" applyAlignment="1"/>
    <xf numFmtId="166" fontId="11" fillId="3" borderId="0" xfId="1" applyNumberFormat="1" applyFont="1" applyFill="1" applyAlignment="1"/>
    <xf numFmtId="165" fontId="11" fillId="3" borderId="0" xfId="0" applyNumberFormat="1" applyFont="1" applyFill="1" applyAlignment="1">
      <alignment horizontal="center"/>
    </xf>
    <xf numFmtId="165" fontId="11" fillId="3" borderId="0" xfId="0" applyNumberFormat="1" applyFont="1" applyFill="1" applyAlignment="1"/>
    <xf numFmtId="166" fontId="11" fillId="3" borderId="0" xfId="1" applyNumberFormat="1" applyFont="1" applyFill="1" applyAlignment="1">
      <alignment horizontal="right"/>
    </xf>
    <xf numFmtId="165" fontId="11" fillId="3" borderId="0" xfId="0" applyNumberFormat="1" applyFont="1" applyFill="1" applyAlignment="1">
      <alignment horizontal="right"/>
    </xf>
    <xf numFmtId="168" fontId="11" fillId="3" borderId="0" xfId="0" applyNumberFormat="1" applyFont="1" applyFill="1" applyAlignment="1"/>
    <xf numFmtId="166" fontId="11" fillId="3" borderId="0" xfId="1" applyNumberFormat="1" applyFont="1" applyFill="1" applyBorder="1" applyAlignment="1">
      <alignment horizontal="right" vertical="center"/>
    </xf>
    <xf numFmtId="165" fontId="11" fillId="0" borderId="0" xfId="0" applyNumberFormat="1" applyFont="1" applyAlignment="1">
      <alignment horizontal="center" vertical="center" wrapText="1"/>
    </xf>
    <xf numFmtId="165" fontId="11" fillId="3" borderId="0" xfId="0" applyNumberFormat="1" applyFont="1" applyFill="1" applyBorder="1" applyAlignment="1">
      <alignment horizontal="right" vertical="center"/>
    </xf>
    <xf numFmtId="168" fontId="11" fillId="3" borderId="0" xfId="0" applyNumberFormat="1" applyFont="1" applyFill="1" applyAlignment="1">
      <alignment vertical="center"/>
    </xf>
    <xf numFmtId="166" fontId="11" fillId="3" borderId="7" xfId="1" applyNumberFormat="1" applyFont="1" applyFill="1" applyBorder="1" applyAlignment="1">
      <alignment horizontal="right" vertical="center"/>
    </xf>
    <xf numFmtId="165" fontId="11" fillId="3" borderId="7" xfId="0" applyNumberFormat="1" applyFont="1" applyFill="1" applyBorder="1" applyAlignment="1">
      <alignment horizontal="right" vertical="center"/>
    </xf>
    <xf numFmtId="0" fontId="11" fillId="0" borderId="0" xfId="0" applyNumberFormat="1" applyFont="1" applyAlignment="1">
      <alignment horizontal="center"/>
    </xf>
    <xf numFmtId="166" fontId="13" fillId="3" borderId="15" xfId="1" applyNumberFormat="1" applyFont="1" applyFill="1" applyBorder="1" applyAlignment="1">
      <alignment horizontal="right" vertical="center"/>
    </xf>
    <xf numFmtId="165" fontId="13" fillId="3" borderId="15" xfId="0" applyNumberFormat="1" applyFont="1" applyFill="1" applyBorder="1" applyAlignment="1">
      <alignment horizontal="right" vertical="center"/>
    </xf>
    <xf numFmtId="168" fontId="13" fillId="3" borderId="15" xfId="0" applyNumberFormat="1" applyFont="1" applyFill="1" applyBorder="1" applyAlignment="1">
      <alignment vertical="center"/>
    </xf>
    <xf numFmtId="166" fontId="11" fillId="3" borderId="0" xfId="1" applyNumberFormat="1" applyFont="1" applyFill="1" applyAlignment="1">
      <alignment vertical="center"/>
    </xf>
    <xf numFmtId="165" fontId="11" fillId="3" borderId="0" xfId="0" applyNumberFormat="1" applyFont="1" applyFill="1" applyAlignment="1">
      <alignment horizontal="center" vertical="center"/>
    </xf>
    <xf numFmtId="165" fontId="11" fillId="3" borderId="0" xfId="0" applyNumberFormat="1" applyFont="1" applyFill="1" applyAlignment="1">
      <alignment vertical="center"/>
    </xf>
    <xf numFmtId="166" fontId="13" fillId="3" borderId="0" xfId="1" applyNumberFormat="1" applyFont="1" applyFill="1" applyBorder="1"/>
    <xf numFmtId="165" fontId="13" fillId="3" borderId="0" xfId="0" applyNumberFormat="1" applyFont="1" applyFill="1" applyBorder="1" applyAlignment="1">
      <alignment horizontal="center"/>
    </xf>
    <xf numFmtId="165" fontId="13" fillId="3" borderId="0" xfId="0" applyNumberFormat="1" applyFont="1" applyFill="1" applyBorder="1"/>
    <xf numFmtId="166" fontId="11" fillId="3" borderId="7" xfId="1" applyNumberFormat="1" applyFont="1" applyFill="1" applyBorder="1" applyAlignment="1"/>
    <xf numFmtId="165" fontId="11" fillId="3" borderId="7" xfId="0" applyNumberFormat="1" applyFont="1" applyFill="1" applyBorder="1" applyAlignment="1"/>
    <xf numFmtId="166" fontId="11" fillId="0" borderId="0" xfId="1" applyNumberFormat="1" applyFont="1" applyBorder="1"/>
    <xf numFmtId="166" fontId="12" fillId="0" borderId="0" xfId="1" applyNumberFormat="1" applyFont="1" applyBorder="1" applyAlignment="1"/>
    <xf numFmtId="165" fontId="12" fillId="0" borderId="0" xfId="0" applyNumberFormat="1" applyFont="1" applyBorder="1" applyAlignment="1">
      <alignment horizontal="center"/>
    </xf>
    <xf numFmtId="165" fontId="12" fillId="0" borderId="0" xfId="0" applyNumberFormat="1" applyFont="1" applyBorder="1" applyAlignment="1"/>
    <xf numFmtId="166" fontId="12" fillId="0" borderId="0" xfId="1" applyNumberFormat="1" applyFont="1" applyAlignment="1"/>
    <xf numFmtId="165" fontId="12" fillId="0" borderId="0" xfId="0" applyNumberFormat="1" applyFont="1" applyAlignment="1"/>
    <xf numFmtId="165" fontId="11" fillId="0" borderId="15" xfId="0" applyNumberFormat="1" applyFont="1" applyBorder="1" applyAlignment="1">
      <alignment horizontal="center" vertical="center" wrapText="1"/>
    </xf>
    <xf numFmtId="165" fontId="11" fillId="0" borderId="0" xfId="1" applyNumberFormat="1" applyFont="1" applyAlignment="1"/>
    <xf numFmtId="165" fontId="13" fillId="0" borderId="15" xfId="1" applyNumberFormat="1" applyFont="1" applyBorder="1" applyAlignment="1"/>
    <xf numFmtId="166" fontId="11" fillId="0" borderId="0" xfId="1" applyNumberFormat="1" applyFont="1" applyBorder="1" applyAlignment="1"/>
    <xf numFmtId="165" fontId="11" fillId="0" borderId="0" xfId="1" applyNumberFormat="1" applyFont="1" applyBorder="1" applyAlignment="1">
      <alignment horizontal="center"/>
    </xf>
    <xf numFmtId="165" fontId="11" fillId="0" borderId="0" xfId="1" applyNumberFormat="1" applyFont="1" applyBorder="1" applyAlignment="1"/>
    <xf numFmtId="166" fontId="12" fillId="0" borderId="0" xfId="1" applyNumberFormat="1" applyFont="1" applyAlignment="1">
      <alignment horizontal="left" indent="5"/>
    </xf>
    <xf numFmtId="0" fontId="11" fillId="0" borderId="0" xfId="0" applyNumberFormat="1" applyFont="1" applyAlignment="1">
      <alignment horizontal="left" indent="15"/>
    </xf>
    <xf numFmtId="165" fontId="11" fillId="0" borderId="0" xfId="0" applyNumberFormat="1" applyFont="1" applyAlignment="1">
      <alignment horizontal="left" indent="15"/>
    </xf>
    <xf numFmtId="0" fontId="11" fillId="0" borderId="0" xfId="0" applyNumberFormat="1" applyFont="1" applyAlignment="1">
      <alignment horizontal="left" indent="5"/>
    </xf>
    <xf numFmtId="0" fontId="9" fillId="0" borderId="0" xfId="0" applyNumberFormat="1" applyFont="1"/>
    <xf numFmtId="166" fontId="11" fillId="3" borderId="0" xfId="1" applyNumberFormat="1" applyFont="1" applyFill="1"/>
    <xf numFmtId="165" fontId="11" fillId="3" borderId="0" xfId="0" applyNumberFormat="1" applyFont="1" applyFill="1"/>
    <xf numFmtId="168" fontId="13" fillId="0" borderId="0" xfId="1" applyNumberFormat="1" applyFont="1" applyBorder="1"/>
    <xf numFmtId="168" fontId="13" fillId="0" borderId="0" xfId="0" applyNumberFormat="1" applyFont="1" applyBorder="1"/>
    <xf numFmtId="0" fontId="11" fillId="0" borderId="0" xfId="0" applyNumberFormat="1" applyFont="1" applyAlignment="1">
      <alignment vertical="center"/>
    </xf>
    <xf numFmtId="0" fontId="11" fillId="0" borderId="0" xfId="0" applyNumberFormat="1" applyFont="1" applyAlignment="1">
      <alignment vertical="center" wrapText="1"/>
    </xf>
    <xf numFmtId="166" fontId="14" fillId="3" borderId="0" xfId="1" applyNumberFormat="1" applyFont="1" applyFill="1" applyBorder="1" applyAlignment="1">
      <alignment horizontal="left"/>
    </xf>
    <xf numFmtId="165" fontId="14" fillId="3" borderId="0" xfId="1" applyNumberFormat="1" applyFont="1" applyFill="1" applyBorder="1" applyAlignment="1">
      <alignment horizontal="left"/>
    </xf>
    <xf numFmtId="166" fontId="11" fillId="3" borderId="0" xfId="1" applyNumberFormat="1" applyFont="1" applyFill="1" applyBorder="1" applyAlignment="1"/>
    <xf numFmtId="165" fontId="11" fillId="3" borderId="0" xfId="0" applyNumberFormat="1" applyFont="1" applyFill="1" applyBorder="1" applyAlignment="1"/>
    <xf numFmtId="166" fontId="13" fillId="3" borderId="15" xfId="1" applyNumberFormat="1" applyFont="1" applyFill="1" applyBorder="1" applyAlignment="1"/>
    <xf numFmtId="165" fontId="13" fillId="3" borderId="15" xfId="0" applyNumberFormat="1" applyFont="1" applyFill="1" applyBorder="1" applyAlignment="1"/>
    <xf numFmtId="165" fontId="11" fillId="0" borderId="0" xfId="0" applyNumberFormat="1" applyFont="1" applyAlignment="1">
      <alignment horizontal="left" wrapText="1"/>
    </xf>
    <xf numFmtId="165" fontId="11" fillId="0" borderId="0" xfId="0" applyNumberFormat="1" applyFont="1" applyAlignment="1">
      <alignment horizontal="left" wrapText="1"/>
    </xf>
    <xf numFmtId="49" fontId="11" fillId="0" borderId="0" xfId="0" applyNumberFormat="1" applyFont="1"/>
    <xf numFmtId="49" fontId="11" fillId="0" borderId="15" xfId="1" applyNumberFormat="1" applyFont="1" applyBorder="1" applyAlignment="1">
      <alignment horizontal="center" vertical="center"/>
    </xf>
    <xf numFmtId="49" fontId="11" fillId="0" borderId="15" xfId="0" applyNumberFormat="1" applyFont="1" applyBorder="1" applyAlignment="1">
      <alignment horizontal="center" vertical="center"/>
    </xf>
    <xf numFmtId="165" fontId="11" fillId="0" borderId="0" xfId="0" applyNumberFormat="1" applyFont="1" applyAlignment="1">
      <alignment horizontal="left" wrapText="1"/>
    </xf>
    <xf numFmtId="165" fontId="11" fillId="0" borderId="0" xfId="0" applyNumberFormat="1" applyFont="1" applyAlignment="1">
      <alignment horizontal="left" wrapText="1"/>
    </xf>
    <xf numFmtId="165" fontId="13" fillId="0" borderId="15" xfId="0" applyNumberFormat="1" applyFont="1" applyFill="1" applyBorder="1"/>
    <xf numFmtId="166" fontId="7" fillId="0" borderId="17" xfId="1" applyNumberFormat="1" applyFont="1" applyFill="1" applyBorder="1"/>
    <xf numFmtId="164" fontId="11" fillId="0" borderId="0" xfId="1" applyFont="1"/>
    <xf numFmtId="0" fontId="15" fillId="0" borderId="0" xfId="0" applyFont="1"/>
    <xf numFmtId="164" fontId="15" fillId="0" borderId="0" xfId="1" applyFont="1"/>
    <xf numFmtId="0" fontId="15" fillId="0" borderId="0" xfId="0" applyFont="1" applyAlignment="1"/>
    <xf numFmtId="0" fontId="15" fillId="0" borderId="0" xfId="0" applyFont="1" applyAlignment="1">
      <alignment horizontal="left"/>
    </xf>
    <xf numFmtId="0" fontId="16" fillId="0" borderId="19" xfId="0" applyFont="1" applyBorder="1" applyAlignment="1">
      <alignment horizontal="center" vertical="center" wrapText="1"/>
    </xf>
    <xf numFmtId="164" fontId="16" fillId="0" borderId="19" xfId="1" applyFont="1" applyBorder="1" applyAlignment="1">
      <alignment horizontal="center" vertical="center" wrapText="1"/>
    </xf>
    <xf numFmtId="164" fontId="16" fillId="0" borderId="22" xfId="1" applyFont="1" applyBorder="1" applyAlignment="1">
      <alignment horizontal="center" vertical="center" wrapText="1"/>
    </xf>
    <xf numFmtId="0" fontId="16" fillId="0" borderId="23" xfId="0" applyFont="1" applyBorder="1" applyAlignment="1">
      <alignment horizontal="center" vertical="center" wrapText="1"/>
    </xf>
    <xf numFmtId="0" fontId="15" fillId="0" borderId="24" xfId="0" applyFont="1" applyBorder="1" applyAlignment="1">
      <alignment vertical="center"/>
    </xf>
    <xf numFmtId="0" fontId="15" fillId="0" borderId="24" xfId="0" applyFont="1" applyBorder="1" applyAlignment="1">
      <alignment vertical="center" wrapText="1"/>
    </xf>
    <xf numFmtId="164" fontId="15" fillId="0" borderId="24" xfId="1" applyFont="1" applyBorder="1" applyAlignment="1">
      <alignment vertical="center"/>
    </xf>
    <xf numFmtId="164" fontId="15" fillId="0" borderId="16" xfId="1" applyFont="1" applyBorder="1" applyAlignment="1">
      <alignment vertical="center"/>
    </xf>
    <xf numFmtId="164" fontId="9" fillId="0" borderId="0" xfId="1" applyFont="1"/>
    <xf numFmtId="0" fontId="20" fillId="0" borderId="0" xfId="0" applyFont="1"/>
    <xf numFmtId="0" fontId="19" fillId="0" borderId="0" xfId="0" applyFont="1" applyFill="1" applyAlignment="1" applyProtection="1">
      <alignment horizontal="center" vertical="top"/>
      <protection locked="0"/>
    </xf>
    <xf numFmtId="0" fontId="19" fillId="0" borderId="25" xfId="0" applyFont="1" applyBorder="1"/>
    <xf numFmtId="49" fontId="19" fillId="0" borderId="25" xfId="0" applyNumberFormat="1" applyFont="1" applyFill="1" applyBorder="1" applyAlignment="1" applyProtection="1">
      <alignment horizontal="left" vertical="top"/>
      <protection locked="0"/>
    </xf>
    <xf numFmtId="0" fontId="19" fillId="0" borderId="25" xfId="0" applyFont="1" applyFill="1" applyBorder="1" applyAlignment="1" applyProtection="1">
      <alignment horizontal="left" vertical="top"/>
      <protection locked="0"/>
    </xf>
    <xf numFmtId="164" fontId="19" fillId="0" borderId="25" xfId="1" applyFont="1" applyBorder="1"/>
    <xf numFmtId="0" fontId="19" fillId="0" borderId="26" xfId="0" applyFont="1" applyBorder="1"/>
    <xf numFmtId="49" fontId="19" fillId="0" borderId="26" xfId="0" applyNumberFormat="1" applyFont="1" applyFill="1" applyBorder="1" applyAlignment="1" applyProtection="1">
      <alignment horizontal="left" vertical="top"/>
      <protection locked="0"/>
    </xf>
    <xf numFmtId="0" fontId="19" fillId="0" borderId="26" xfId="0" applyFont="1" applyFill="1" applyBorder="1" applyAlignment="1" applyProtection="1">
      <alignment horizontal="left" vertical="top"/>
      <protection locked="0"/>
    </xf>
    <xf numFmtId="164" fontId="19" fillId="0" borderId="26" xfId="1" applyFont="1" applyFill="1" applyBorder="1" applyAlignment="1" applyProtection="1">
      <alignment horizontal="right" vertical="top"/>
      <protection locked="0"/>
    </xf>
    <xf numFmtId="0" fontId="21" fillId="0" borderId="26" xfId="0" applyFont="1" applyBorder="1"/>
    <xf numFmtId="49" fontId="21" fillId="0" borderId="26" xfId="0" applyNumberFormat="1" applyFont="1" applyFill="1" applyBorder="1" applyAlignment="1" applyProtection="1">
      <alignment horizontal="left" vertical="top"/>
      <protection locked="0"/>
    </xf>
    <xf numFmtId="0" fontId="21" fillId="0" borderId="26" xfId="0" applyFont="1" applyFill="1" applyBorder="1" applyAlignment="1" applyProtection="1">
      <alignment horizontal="left" vertical="top"/>
      <protection locked="0"/>
    </xf>
    <xf numFmtId="164" fontId="21" fillId="0" borderId="26" xfId="1" applyFont="1" applyFill="1" applyBorder="1" applyAlignment="1" applyProtection="1">
      <alignment horizontal="right" vertical="top"/>
      <protection locked="0"/>
    </xf>
    <xf numFmtId="0" fontId="20" fillId="0" borderId="26" xfId="0" applyFont="1" applyBorder="1"/>
    <xf numFmtId="49" fontId="20" fillId="0" borderId="26" xfId="0" applyNumberFormat="1" applyFont="1" applyFill="1" applyBorder="1" applyAlignment="1" applyProtection="1">
      <alignment horizontal="left" vertical="top"/>
      <protection locked="0"/>
    </xf>
    <xf numFmtId="0" fontId="20" fillId="0" borderId="26" xfId="0" applyFont="1" applyFill="1" applyBorder="1" applyAlignment="1" applyProtection="1">
      <alignment horizontal="left" vertical="top"/>
      <protection locked="0"/>
    </xf>
    <xf numFmtId="164" fontId="20" fillId="0" borderId="26" xfId="1" applyFont="1" applyFill="1" applyBorder="1" applyAlignment="1" applyProtection="1">
      <alignment horizontal="right" vertical="top"/>
      <protection locked="0"/>
    </xf>
    <xf numFmtId="0" fontId="20" fillId="0" borderId="27" xfId="0" applyFont="1" applyBorder="1"/>
    <xf numFmtId="49" fontId="20" fillId="0" borderId="27" xfId="0" applyNumberFormat="1" applyFont="1" applyBorder="1"/>
    <xf numFmtId="0" fontId="19" fillId="0" borderId="27" xfId="0" applyFont="1" applyFill="1" applyBorder="1" applyAlignment="1" applyProtection="1">
      <alignment horizontal="center" vertical="top"/>
      <protection locked="0"/>
    </xf>
    <xf numFmtId="164" fontId="19" fillId="0" borderId="27" xfId="1" applyFont="1" applyFill="1" applyBorder="1" applyAlignment="1" applyProtection="1">
      <alignment horizontal="right" vertical="top"/>
      <protection locked="0"/>
    </xf>
    <xf numFmtId="0" fontId="20" fillId="0" borderId="25" xfId="0" applyFont="1" applyBorder="1"/>
    <xf numFmtId="49" fontId="19" fillId="0" borderId="26" xfId="0" applyNumberFormat="1" applyFont="1" applyBorder="1" applyAlignment="1">
      <alignment horizontal="center"/>
    </xf>
    <xf numFmtId="49" fontId="19" fillId="0" borderId="26" xfId="0" applyNumberFormat="1" applyFont="1" applyBorder="1"/>
    <xf numFmtId="49" fontId="20" fillId="0" borderId="26" xfId="0" applyNumberFormat="1" applyFont="1" applyBorder="1"/>
    <xf numFmtId="49" fontId="21" fillId="0" borderId="26" xfId="0" applyNumberFormat="1" applyFont="1" applyBorder="1"/>
    <xf numFmtId="49" fontId="19" fillId="0" borderId="26" xfId="0" applyNumberFormat="1" applyFont="1" applyFill="1" applyBorder="1" applyAlignment="1" applyProtection="1">
      <alignment horizontal="center" vertical="center"/>
      <protection locked="0"/>
    </xf>
    <xf numFmtId="0" fontId="19" fillId="0" borderId="26" xfId="0" applyFont="1" applyFill="1" applyBorder="1" applyAlignment="1" applyProtection="1">
      <alignment horizontal="left" vertical="top" wrapText="1"/>
      <protection locked="0"/>
    </xf>
    <xf numFmtId="164" fontId="19" fillId="0" borderId="26" xfId="1" applyFont="1" applyFill="1" applyBorder="1" applyAlignment="1" applyProtection="1">
      <alignment horizontal="right" vertical="center"/>
      <protection locked="0"/>
    </xf>
    <xf numFmtId="49" fontId="20" fillId="0" borderId="0" xfId="0" applyNumberFormat="1" applyFont="1"/>
    <xf numFmtId="0" fontId="20" fillId="0" borderId="0" xfId="0" applyFont="1" applyFill="1" applyAlignment="1" applyProtection="1">
      <alignment horizontal="left" vertical="top"/>
      <protection locked="0"/>
    </xf>
    <xf numFmtId="49" fontId="20" fillId="0" borderId="25" xfId="0" applyNumberFormat="1" applyFont="1" applyBorder="1"/>
    <xf numFmtId="164" fontId="19" fillId="0" borderId="25" xfId="1" applyFont="1" applyFill="1" applyBorder="1" applyAlignment="1" applyProtection="1">
      <alignment horizontal="right" vertical="top"/>
      <protection locked="0"/>
    </xf>
    <xf numFmtId="49" fontId="19" fillId="0" borderId="26" xfId="0" applyNumberFormat="1" applyFont="1" applyFill="1" applyBorder="1" applyAlignment="1" applyProtection="1">
      <alignment horizontal="left" vertical="center"/>
      <protection locked="0"/>
    </xf>
    <xf numFmtId="49" fontId="20" fillId="0" borderId="28" xfId="0" applyNumberFormat="1" applyFont="1" applyBorder="1"/>
    <xf numFmtId="49" fontId="20" fillId="0" borderId="28" xfId="0" applyNumberFormat="1" applyFont="1" applyFill="1" applyBorder="1" applyAlignment="1" applyProtection="1">
      <alignment horizontal="left" vertical="top"/>
      <protection locked="0"/>
    </xf>
    <xf numFmtId="0" fontId="20" fillId="0" borderId="28" xfId="0" applyFont="1" applyBorder="1"/>
    <xf numFmtId="0" fontId="20" fillId="0" borderId="28" xfId="0" applyFont="1" applyFill="1" applyBorder="1" applyAlignment="1" applyProtection="1">
      <alignment horizontal="left" vertical="top"/>
      <protection locked="0"/>
    </xf>
    <xf numFmtId="164" fontId="20" fillId="0" borderId="28" xfId="1" applyFont="1" applyFill="1" applyBorder="1" applyAlignment="1" applyProtection="1">
      <alignment horizontal="right" vertical="top"/>
      <protection locked="0"/>
    </xf>
    <xf numFmtId="49" fontId="20" fillId="0" borderId="2" xfId="0" applyNumberFormat="1" applyFont="1" applyBorder="1"/>
    <xf numFmtId="49" fontId="19" fillId="0" borderId="29" xfId="0" applyNumberFormat="1" applyFont="1" applyBorder="1"/>
    <xf numFmtId="49" fontId="19" fillId="0" borderId="29" xfId="0" applyNumberFormat="1" applyFont="1" applyFill="1" applyBorder="1" applyAlignment="1" applyProtection="1">
      <alignment horizontal="left" vertical="top"/>
      <protection locked="0"/>
    </xf>
    <xf numFmtId="0" fontId="19" fillId="0" borderId="29" xfId="0" applyFont="1" applyBorder="1"/>
    <xf numFmtId="0" fontId="19" fillId="0" borderId="29" xfId="0" applyFont="1" applyFill="1" applyBorder="1" applyAlignment="1" applyProtection="1">
      <alignment horizontal="left" vertical="top"/>
      <protection locked="0"/>
    </xf>
    <xf numFmtId="164" fontId="19" fillId="0" borderId="29" xfId="1" applyFont="1" applyFill="1" applyBorder="1" applyAlignment="1" applyProtection="1">
      <alignment horizontal="right" vertical="top"/>
      <protection locked="0"/>
    </xf>
    <xf numFmtId="49" fontId="19" fillId="0" borderId="29" xfId="0" applyNumberFormat="1" applyFont="1" applyFill="1" applyBorder="1" applyAlignment="1" applyProtection="1">
      <alignment horizontal="left" vertical="center"/>
      <protection locked="0"/>
    </xf>
    <xf numFmtId="0" fontId="19" fillId="0" borderId="29" xfId="0" applyFont="1" applyFill="1" applyBorder="1" applyAlignment="1" applyProtection="1">
      <alignment horizontal="left" vertical="top" wrapText="1"/>
      <protection locked="0"/>
    </xf>
    <xf numFmtId="164" fontId="19" fillId="0" borderId="29" xfId="1" applyFont="1" applyFill="1" applyBorder="1" applyAlignment="1" applyProtection="1">
      <alignment horizontal="right" vertical="center"/>
      <protection locked="0"/>
    </xf>
    <xf numFmtId="49" fontId="19" fillId="0" borderId="25" xfId="0" applyNumberFormat="1" applyFont="1" applyBorder="1"/>
    <xf numFmtId="0" fontId="20" fillId="0" borderId="26" xfId="0" applyFont="1" applyFill="1" applyBorder="1" applyAlignment="1" applyProtection="1">
      <alignment horizontal="left" vertical="top" wrapText="1"/>
      <protection locked="0"/>
    </xf>
    <xf numFmtId="49" fontId="21" fillId="0" borderId="29" xfId="0" applyNumberFormat="1" applyFont="1" applyBorder="1"/>
    <xf numFmtId="49" fontId="21" fillId="0" borderId="29" xfId="0" applyNumberFormat="1" applyFont="1" applyFill="1" applyBorder="1" applyAlignment="1" applyProtection="1">
      <alignment horizontal="left" vertical="top"/>
      <protection locked="0"/>
    </xf>
    <xf numFmtId="0" fontId="21" fillId="0" borderId="29" xfId="0" applyFont="1" applyBorder="1"/>
    <xf numFmtId="0" fontId="21" fillId="0" borderId="29" xfId="0" applyFont="1" applyFill="1" applyBorder="1" applyAlignment="1" applyProtection="1">
      <alignment horizontal="left" vertical="top"/>
      <protection locked="0"/>
    </xf>
    <xf numFmtId="164" fontId="21" fillId="0" borderId="29" xfId="1" applyFont="1" applyFill="1" applyBorder="1" applyAlignment="1" applyProtection="1">
      <alignment horizontal="right" vertical="top"/>
      <protection locked="0"/>
    </xf>
    <xf numFmtId="49" fontId="20" fillId="0" borderId="24" xfId="0" applyNumberFormat="1" applyFont="1" applyBorder="1"/>
    <xf numFmtId="0" fontId="20" fillId="0" borderId="24" xfId="0" applyFont="1" applyBorder="1"/>
    <xf numFmtId="0" fontId="19" fillId="0" borderId="24" xfId="0" applyFont="1" applyFill="1" applyBorder="1" applyAlignment="1" applyProtection="1">
      <alignment horizontal="center" vertical="top"/>
      <protection locked="0"/>
    </xf>
    <xf numFmtId="164" fontId="19" fillId="0" borderId="24" xfId="1" applyFont="1" applyFill="1" applyBorder="1" applyAlignment="1" applyProtection="1">
      <alignment horizontal="right" vertical="top"/>
      <protection locked="0"/>
    </xf>
    <xf numFmtId="0" fontId="20" fillId="0" borderId="0" xfId="0" applyFont="1" applyFill="1" applyAlignment="1" applyProtection="1">
      <alignment horizontal="center" vertical="top"/>
      <protection locked="0"/>
    </xf>
    <xf numFmtId="0" fontId="20" fillId="0" borderId="0" xfId="0" applyFont="1" applyAlignment="1">
      <alignment horizontal="left"/>
    </xf>
    <xf numFmtId="164" fontId="20" fillId="0" borderId="24" xfId="1" applyFont="1" applyFill="1" applyBorder="1" applyAlignment="1" applyProtection="1">
      <alignment horizontal="right" vertical="top"/>
      <protection locked="0"/>
    </xf>
    <xf numFmtId="0" fontId="19" fillId="0" borderId="24" xfId="0" applyFont="1" applyBorder="1" applyAlignment="1">
      <alignment horizontal="center" vertical="center"/>
    </xf>
    <xf numFmtId="0" fontId="19" fillId="0" borderId="24"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protection locked="0"/>
    </xf>
    <xf numFmtId="0" fontId="23" fillId="0" borderId="21" xfId="0" applyFont="1" applyBorder="1" applyAlignment="1">
      <alignment horizontal="center" vertical="center"/>
    </xf>
    <xf numFmtId="1" fontId="23" fillId="0" borderId="21" xfId="0" applyNumberFormat="1" applyFont="1" applyFill="1" applyBorder="1" applyAlignment="1" applyProtection="1">
      <alignment horizontal="center" vertical="center"/>
      <protection locked="0"/>
    </xf>
    <xf numFmtId="0" fontId="24" fillId="0" borderId="0" xfId="0" applyFont="1"/>
    <xf numFmtId="0" fontId="21" fillId="0" borderId="26" xfId="0" applyFont="1" applyFill="1" applyBorder="1" applyAlignment="1" applyProtection="1">
      <alignment horizontal="left" vertical="top" wrapText="1"/>
      <protection locked="0"/>
    </xf>
    <xf numFmtId="0" fontId="25" fillId="0" borderId="0" xfId="0" applyFont="1"/>
    <xf numFmtId="0" fontId="18" fillId="0" borderId="0" xfId="0" applyFont="1"/>
    <xf numFmtId="0" fontId="26" fillId="0" borderId="0" xfId="0" applyFont="1"/>
    <xf numFmtId="0" fontId="27" fillId="0" borderId="0" xfId="0" applyFont="1"/>
    <xf numFmtId="0" fontId="28" fillId="0" borderId="0" xfId="0" applyFont="1"/>
    <xf numFmtId="0" fontId="29" fillId="0" borderId="0" xfId="0" applyFont="1"/>
    <xf numFmtId="164" fontId="29" fillId="0" borderId="0" xfId="0" applyNumberFormat="1" applyFont="1"/>
    <xf numFmtId="0" fontId="30" fillId="0" borderId="0" xfId="0" applyFont="1"/>
    <xf numFmtId="0" fontId="31" fillId="0" borderId="0" xfId="0" applyFont="1"/>
    <xf numFmtId="164" fontId="27" fillId="0" borderId="23" xfId="1" applyFont="1" applyFill="1" applyBorder="1" applyAlignment="1" applyProtection="1">
      <alignment horizontal="right" vertical="top"/>
      <protection locked="0"/>
    </xf>
    <xf numFmtId="0" fontId="23" fillId="0" borderId="24" xfId="0" applyFont="1" applyBorder="1" applyAlignment="1">
      <alignment horizontal="center" vertical="center"/>
    </xf>
    <xf numFmtId="49" fontId="20" fillId="0" borderId="24" xfId="0" applyNumberFormat="1" applyFont="1" applyFill="1" applyBorder="1" applyAlignment="1" applyProtection="1">
      <alignment horizontal="left" vertical="top"/>
      <protection locked="0"/>
    </xf>
    <xf numFmtId="0" fontId="20" fillId="0" borderId="24" xfId="0" applyFont="1" applyFill="1" applyBorder="1" applyAlignment="1" applyProtection="1">
      <alignment horizontal="left" vertical="top"/>
      <protection locked="0"/>
    </xf>
    <xf numFmtId="0" fontId="19" fillId="0" borderId="26" xfId="0" applyFont="1" applyBorder="1" applyAlignment="1">
      <alignment wrapText="1"/>
    </xf>
    <xf numFmtId="0" fontId="20" fillId="0" borderId="26" xfId="0" applyFont="1" applyBorder="1" applyAlignment="1">
      <alignment wrapText="1"/>
    </xf>
    <xf numFmtId="0" fontId="21" fillId="0" borderId="26" xfId="0" applyFont="1" applyBorder="1" applyAlignment="1">
      <alignment wrapText="1"/>
    </xf>
    <xf numFmtId="0" fontId="20" fillId="0" borderId="28" xfId="0" applyFont="1" applyBorder="1" applyAlignment="1">
      <alignment wrapText="1"/>
    </xf>
    <xf numFmtId="0" fontId="20" fillId="0" borderId="28" xfId="0" applyFont="1" applyFill="1" applyBorder="1" applyAlignment="1" applyProtection="1">
      <alignment horizontal="left" vertical="top" wrapText="1"/>
      <protection locked="0"/>
    </xf>
    <xf numFmtId="0" fontId="19" fillId="0" borderId="29" xfId="0" applyFont="1" applyBorder="1" applyAlignment="1">
      <alignment wrapText="1"/>
    </xf>
    <xf numFmtId="0" fontId="20" fillId="0" borderId="24" xfId="0" applyFont="1" applyFill="1" applyBorder="1" applyAlignment="1" applyProtection="1">
      <alignment horizontal="left" vertical="top" wrapText="1"/>
      <protection locked="0"/>
    </xf>
    <xf numFmtId="0" fontId="9" fillId="0" borderId="24" xfId="0" applyFont="1" applyBorder="1"/>
    <xf numFmtId="164" fontId="9" fillId="0" borderId="24" xfId="1" applyFont="1" applyBorder="1"/>
    <xf numFmtId="0" fontId="22" fillId="0" borderId="24" xfId="0" applyFont="1" applyBorder="1"/>
    <xf numFmtId="164" fontId="22" fillId="0" borderId="24" xfId="1" applyFont="1" applyBorder="1"/>
    <xf numFmtId="164" fontId="22" fillId="0" borderId="24" xfId="0" applyNumberFormat="1" applyFont="1" applyBorder="1"/>
    <xf numFmtId="0" fontId="17" fillId="0" borderId="0" xfId="0" applyFont="1"/>
    <xf numFmtId="49" fontId="19" fillId="0" borderId="24" xfId="0" applyNumberFormat="1" applyFont="1" applyFill="1" applyBorder="1" applyAlignment="1" applyProtection="1">
      <alignment horizontal="left" vertical="top"/>
      <protection locked="0"/>
    </xf>
    <xf numFmtId="0" fontId="22" fillId="0" borderId="24" xfId="0" applyFont="1" applyBorder="1" applyAlignment="1">
      <alignment horizontal="left"/>
    </xf>
    <xf numFmtId="0" fontId="9" fillId="0" borderId="0" xfId="0" applyFont="1" applyAlignment="1">
      <alignment horizontal="center"/>
    </xf>
    <xf numFmtId="164" fontId="22" fillId="0" borderId="24" xfId="0" applyNumberFormat="1" applyFont="1" applyFill="1" applyBorder="1"/>
    <xf numFmtId="0" fontId="9" fillId="0" borderId="0" xfId="0" applyFont="1" applyAlignment="1">
      <alignment wrapText="1"/>
    </xf>
    <xf numFmtId="0" fontId="20" fillId="0" borderId="0" xfId="0" applyFont="1" applyFill="1" applyAlignment="1" applyProtection="1">
      <alignment horizontal="left" vertical="top" wrapText="1"/>
      <protection locked="0"/>
    </xf>
    <xf numFmtId="0" fontId="20" fillId="0" borderId="0" xfId="0" applyFont="1" applyAlignment="1">
      <alignment horizontal="left" wrapText="1"/>
    </xf>
    <xf numFmtId="0" fontId="20" fillId="0" borderId="0" xfId="0" applyFont="1" applyAlignment="1">
      <alignment wrapText="1"/>
    </xf>
    <xf numFmtId="0" fontId="19" fillId="0" borderId="25" xfId="0" applyFont="1" applyBorder="1" applyAlignment="1">
      <alignment wrapText="1"/>
    </xf>
    <xf numFmtId="0" fontId="19" fillId="0" borderId="27" xfId="0" applyFont="1" applyFill="1" applyBorder="1" applyAlignment="1" applyProtection="1">
      <alignment horizontal="center" vertical="top" wrapText="1"/>
      <protection locked="0"/>
    </xf>
    <xf numFmtId="0" fontId="19" fillId="0" borderId="25" xfId="0" applyFont="1" applyFill="1" applyBorder="1" applyAlignment="1" applyProtection="1">
      <alignment horizontal="left" vertical="top" wrapText="1"/>
      <protection locked="0"/>
    </xf>
    <xf numFmtId="0" fontId="21" fillId="0" borderId="29" xfId="0" applyFont="1" applyFill="1" applyBorder="1" applyAlignment="1" applyProtection="1">
      <alignment horizontal="left" vertical="top" wrapText="1"/>
      <protection locked="0"/>
    </xf>
    <xf numFmtId="0" fontId="19" fillId="0" borderId="24" xfId="0" applyFont="1" applyFill="1" applyBorder="1" applyAlignment="1" applyProtection="1">
      <alignment horizontal="center" vertical="top" wrapText="1"/>
      <protection locked="0"/>
    </xf>
    <xf numFmtId="0" fontId="22" fillId="0" borderId="24" xfId="0" applyFont="1" applyBorder="1" applyAlignment="1">
      <alignment wrapText="1"/>
    </xf>
    <xf numFmtId="0" fontId="9" fillId="0" borderId="24" xfId="0" applyFont="1" applyBorder="1" applyAlignment="1">
      <alignment wrapText="1"/>
    </xf>
    <xf numFmtId="49" fontId="21" fillId="0" borderId="26" xfId="0" applyNumberFormat="1" applyFont="1" applyBorder="1" applyAlignment="1">
      <alignment wrapText="1"/>
    </xf>
    <xf numFmtId="0" fontId="19" fillId="0" borderId="24" xfId="0" applyFont="1" applyFill="1" applyBorder="1" applyAlignment="1" applyProtection="1">
      <alignment horizontal="left" vertical="top" wrapText="1"/>
      <protection locked="0"/>
    </xf>
    <xf numFmtId="0" fontId="19" fillId="0" borderId="28" xfId="0" applyFont="1" applyFill="1" applyBorder="1" applyAlignment="1" applyProtection="1">
      <alignment horizontal="left" vertical="top" wrapText="1"/>
      <protection locked="0"/>
    </xf>
    <xf numFmtId="0" fontId="5" fillId="0" borderId="0" xfId="0" applyFont="1" applyAlignment="1">
      <alignment horizontal="center"/>
    </xf>
    <xf numFmtId="0" fontId="0" fillId="0" borderId="0" xfId="0" applyAlignment="1">
      <alignment horizontal="center"/>
    </xf>
    <xf numFmtId="0" fontId="0" fillId="3" borderId="0" xfId="0" applyFill="1" applyAlignment="1">
      <alignment horizontal="center"/>
    </xf>
    <xf numFmtId="0" fontId="0" fillId="3" borderId="0" xfId="0" applyFill="1"/>
    <xf numFmtId="0" fontId="32" fillId="3" borderId="0" xfId="0" applyFont="1" applyFill="1"/>
    <xf numFmtId="43" fontId="32" fillId="3" borderId="0" xfId="2" applyFont="1" applyFill="1"/>
    <xf numFmtId="0" fontId="32" fillId="0" borderId="0" xfId="0" applyFont="1"/>
    <xf numFmtId="0" fontId="32" fillId="3" borderId="0" xfId="0" applyFont="1" applyFill="1" applyAlignment="1">
      <alignment horizontal="center"/>
    </xf>
    <xf numFmtId="0" fontId="34" fillId="0" borderId="0" xfId="0" applyFont="1"/>
    <xf numFmtId="0" fontId="33" fillId="0" borderId="0" xfId="0" applyFont="1"/>
    <xf numFmtId="0" fontId="34" fillId="0" borderId="0" xfId="0" applyFont="1" applyAlignment="1">
      <alignment horizontal="center"/>
    </xf>
    <xf numFmtId="0" fontId="33" fillId="0" borderId="0" xfId="0" applyFont="1" applyAlignment="1">
      <alignment horizontal="center"/>
    </xf>
    <xf numFmtId="0" fontId="33" fillId="3" borderId="0" xfId="0" applyFont="1" applyFill="1" applyAlignment="1">
      <alignment horizontal="center"/>
    </xf>
    <xf numFmtId="0" fontId="33" fillId="3" borderId="0" xfId="0" applyFont="1" applyFill="1"/>
    <xf numFmtId="43" fontId="34" fillId="3" borderId="0" xfId="2" applyFont="1" applyFill="1"/>
    <xf numFmtId="0" fontId="34" fillId="3" borderId="0" xfId="0" applyFont="1" applyFill="1" applyAlignment="1">
      <alignment horizontal="center"/>
    </xf>
    <xf numFmtId="0" fontId="35" fillId="0" borderId="19" xfId="0" applyFont="1" applyBorder="1" applyAlignment="1">
      <alignment horizontal="center" vertical="center"/>
    </xf>
    <xf numFmtId="0" fontId="35" fillId="3" borderId="19" xfId="0" applyFont="1" applyFill="1" applyBorder="1" applyAlignment="1">
      <alignment horizontal="center" vertical="center"/>
    </xf>
    <xf numFmtId="43" fontId="35" fillId="3" borderId="19" xfId="2" applyFont="1" applyFill="1" applyBorder="1" applyAlignment="1">
      <alignment horizontal="center" vertical="center"/>
    </xf>
    <xf numFmtId="0" fontId="35" fillId="0" borderId="0" xfId="0" applyFont="1"/>
    <xf numFmtId="0" fontId="35" fillId="0" borderId="21" xfId="0" applyFont="1" applyBorder="1" applyAlignment="1">
      <alignment horizontal="center" vertical="center"/>
    </xf>
    <xf numFmtId="0" fontId="35" fillId="0" borderId="24" xfId="0" applyFont="1" applyBorder="1" applyAlignment="1">
      <alignment horizontal="center" vertical="center"/>
    </xf>
    <xf numFmtId="0" fontId="35" fillId="3" borderId="21" xfId="0" applyFont="1" applyFill="1" applyBorder="1" applyAlignment="1">
      <alignment horizontal="center" vertical="center"/>
    </xf>
    <xf numFmtId="43" fontId="35" fillId="3" borderId="21" xfId="2" applyFont="1" applyFill="1" applyBorder="1" applyAlignment="1">
      <alignment horizontal="center" vertical="center"/>
    </xf>
    <xf numFmtId="0" fontId="35" fillId="0" borderId="24" xfId="0" applyFont="1" applyBorder="1" applyAlignment="1">
      <alignment horizontal="center"/>
    </xf>
    <xf numFmtId="0" fontId="35" fillId="0" borderId="24" xfId="0" applyFont="1" applyBorder="1"/>
    <xf numFmtId="0" fontId="32" fillId="0" borderId="24" xfId="0" applyFont="1" applyBorder="1"/>
    <xf numFmtId="0" fontId="32" fillId="0" borderId="24" xfId="0" applyFont="1" applyBorder="1" applyAlignment="1">
      <alignment horizontal="center"/>
    </xf>
    <xf numFmtId="0" fontId="32" fillId="3" borderId="24" xfId="0" applyFont="1" applyFill="1" applyBorder="1" applyAlignment="1">
      <alignment horizontal="center"/>
    </xf>
    <xf numFmtId="0" fontId="32" fillId="3" borderId="24" xfId="0" applyFont="1" applyFill="1" applyBorder="1"/>
    <xf numFmtId="43" fontId="35" fillId="3" borderId="24" xfId="2" applyFont="1" applyFill="1" applyBorder="1"/>
    <xf numFmtId="43" fontId="32" fillId="3" borderId="24" xfId="2" applyFont="1" applyFill="1" applyBorder="1"/>
    <xf numFmtId="14" fontId="32" fillId="0" borderId="24" xfId="0" applyNumberFormat="1" applyFont="1" applyBorder="1" applyAlignment="1">
      <alignment horizontal="center"/>
    </xf>
    <xf numFmtId="43" fontId="32" fillId="0" borderId="24" xfId="2" applyFont="1" applyBorder="1"/>
    <xf numFmtId="0" fontId="36" fillId="3" borderId="24" xfId="0" applyFont="1" applyFill="1" applyBorder="1" applyAlignment="1">
      <alignment horizontal="center"/>
    </xf>
    <xf numFmtId="0" fontId="37" fillId="0" borderId="24" xfId="0" applyFont="1" applyBorder="1"/>
    <xf numFmtId="0" fontId="32" fillId="0" borderId="24" xfId="0" applyFont="1" applyFill="1" applyBorder="1" applyAlignment="1">
      <alignment horizontal="center"/>
    </xf>
    <xf numFmtId="0" fontId="32" fillId="0" borderId="19" xfId="0" applyFont="1" applyBorder="1"/>
    <xf numFmtId="0" fontId="32" fillId="0" borderId="19" xfId="0" applyFont="1" applyFill="1" applyBorder="1" applyAlignment="1">
      <alignment horizontal="center"/>
    </xf>
    <xf numFmtId="43" fontId="32" fillId="0" borderId="19" xfId="2" applyFont="1" applyBorder="1"/>
    <xf numFmtId="0" fontId="32" fillId="3" borderId="19" xfId="0" applyFont="1" applyFill="1" applyBorder="1" applyAlignment="1">
      <alignment horizontal="center"/>
    </xf>
    <xf numFmtId="0" fontId="35" fillId="3" borderId="24" xfId="0" applyFont="1" applyFill="1" applyBorder="1" applyAlignment="1">
      <alignment horizontal="center"/>
    </xf>
    <xf numFmtId="0" fontId="35" fillId="0" borderId="23" xfId="0" applyFont="1" applyBorder="1" applyAlignment="1">
      <alignment horizontal="center" vertical="center"/>
    </xf>
    <xf numFmtId="0" fontId="35" fillId="3" borderId="23" xfId="0" applyFont="1" applyFill="1" applyBorder="1" applyAlignment="1">
      <alignment horizontal="center" vertical="center"/>
    </xf>
    <xf numFmtId="43" fontId="35" fillId="3" borderId="23" xfId="2" applyFont="1" applyFill="1" applyBorder="1" applyAlignment="1">
      <alignment horizontal="center" vertical="center"/>
    </xf>
    <xf numFmtId="43" fontId="32" fillId="3" borderId="24" xfId="2" applyFont="1" applyFill="1" applyBorder="1" applyAlignment="1"/>
    <xf numFmtId="0" fontId="32" fillId="3" borderId="19" xfId="0" applyFont="1" applyFill="1" applyBorder="1"/>
    <xf numFmtId="0" fontId="0" fillId="3" borderId="24" xfId="0" applyFont="1" applyFill="1" applyBorder="1"/>
    <xf numFmtId="43" fontId="0" fillId="3" borderId="24" xfId="2" applyFont="1" applyFill="1" applyBorder="1"/>
    <xf numFmtId="0" fontId="0" fillId="3" borderId="21" xfId="0" applyFont="1" applyFill="1" applyBorder="1"/>
    <xf numFmtId="0" fontId="32" fillId="0" borderId="21" xfId="0" applyFont="1" applyBorder="1"/>
    <xf numFmtId="14" fontId="32" fillId="0" borderId="21" xfId="0" applyNumberFormat="1" applyFont="1" applyBorder="1" applyAlignment="1">
      <alignment horizontal="center"/>
    </xf>
    <xf numFmtId="43" fontId="0" fillId="3" borderId="21" xfId="2" applyFont="1" applyFill="1" applyBorder="1"/>
    <xf numFmtId="14" fontId="32" fillId="3" borderId="24" xfId="0" applyNumberFormat="1" applyFont="1" applyFill="1" applyBorder="1" applyAlignment="1">
      <alignment horizontal="center"/>
    </xf>
    <xf numFmtId="0" fontId="37" fillId="0" borderId="24" xfId="0" applyFont="1" applyBorder="1" applyAlignment="1">
      <alignment horizontal="center"/>
    </xf>
    <xf numFmtId="14" fontId="37" fillId="0" borderId="24" xfId="0" applyNumberFormat="1" applyFont="1" applyBorder="1" applyAlignment="1">
      <alignment horizontal="center"/>
    </xf>
    <xf numFmtId="0" fontId="37" fillId="3" borderId="24" xfId="0" applyFont="1" applyFill="1" applyBorder="1" applyAlignment="1">
      <alignment horizontal="center"/>
    </xf>
    <xf numFmtId="0" fontId="37" fillId="3" borderId="24" xfId="0" applyFont="1" applyFill="1" applyBorder="1"/>
    <xf numFmtId="43" fontId="37" fillId="3" borderId="24" xfId="2" applyFont="1" applyFill="1" applyBorder="1"/>
    <xf numFmtId="0" fontId="37" fillId="0" borderId="0" xfId="0" applyFont="1"/>
    <xf numFmtId="43" fontId="32" fillId="3" borderId="24" xfId="2" applyFont="1" applyFill="1" applyBorder="1" applyAlignment="1">
      <alignment horizontal="center"/>
    </xf>
    <xf numFmtId="165" fontId="32" fillId="3" borderId="24" xfId="0" applyNumberFormat="1" applyFont="1" applyFill="1" applyBorder="1" applyAlignment="1">
      <alignment horizontal="center"/>
    </xf>
    <xf numFmtId="0" fontId="32" fillId="0" borderId="23" xfId="0" applyFont="1" applyFill="1" applyBorder="1"/>
    <xf numFmtId="165" fontId="37" fillId="3" borderId="24" xfId="0" applyNumberFormat="1" applyFont="1" applyFill="1" applyBorder="1" applyAlignment="1">
      <alignment horizontal="center"/>
    </xf>
    <xf numFmtId="43" fontId="35" fillId="3" borderId="24" xfId="2" applyFont="1" applyFill="1" applyBorder="1" applyAlignment="1">
      <alignment horizontal="center"/>
    </xf>
    <xf numFmtId="0" fontId="35" fillId="0" borderId="0" xfId="0" applyFont="1" applyAlignment="1">
      <alignment horizontal="center"/>
    </xf>
    <xf numFmtId="43" fontId="0" fillId="3" borderId="0" xfId="2" applyFont="1" applyFill="1"/>
    <xf numFmtId="43" fontId="35" fillId="3" borderId="0" xfId="2" applyFont="1" applyFill="1"/>
    <xf numFmtId="43" fontId="32" fillId="0" borderId="24" xfId="2" applyFont="1" applyFill="1" applyBorder="1"/>
    <xf numFmtId="43" fontId="32" fillId="3" borderId="0" xfId="0" applyNumberFormat="1" applyFont="1" applyFill="1"/>
    <xf numFmtId="43" fontId="32" fillId="3" borderId="0" xfId="2" applyFont="1" applyFill="1" applyAlignment="1">
      <alignment horizontal="center"/>
    </xf>
    <xf numFmtId="166" fontId="13" fillId="0" borderId="7" xfId="1" applyNumberFormat="1" applyFont="1" applyBorder="1"/>
    <xf numFmtId="165" fontId="13" fillId="0" borderId="7" xfId="0" applyNumberFormat="1" applyFont="1" applyBorder="1"/>
    <xf numFmtId="0" fontId="40" fillId="0" borderId="24" xfId="0" applyFont="1" applyBorder="1"/>
    <xf numFmtId="164" fontId="40" fillId="0" borderId="24" xfId="1" applyFont="1" applyBorder="1"/>
    <xf numFmtId="0" fontId="41" fillId="0" borderId="0" xfId="0" applyFont="1"/>
    <xf numFmtId="0" fontId="40" fillId="0" borderId="24" xfId="0" applyFont="1" applyBorder="1" applyAlignment="1">
      <alignment horizontal="left"/>
    </xf>
    <xf numFmtId="49" fontId="39" fillId="0" borderId="24" xfId="0" applyNumberFormat="1" applyFont="1" applyFill="1" applyBorder="1" applyAlignment="1" applyProtection="1">
      <alignment horizontal="left" vertical="top"/>
      <protection locked="0"/>
    </xf>
    <xf numFmtId="49" fontId="42" fillId="0" borderId="24" xfId="0" applyNumberFormat="1" applyFont="1" applyFill="1" applyBorder="1" applyAlignment="1" applyProtection="1">
      <alignment horizontal="left" vertical="top"/>
      <protection locked="0"/>
    </xf>
    <xf numFmtId="0" fontId="41" fillId="0" borderId="24" xfId="0" applyFont="1" applyBorder="1"/>
    <xf numFmtId="164" fontId="41" fillId="0" borderId="24" xfId="1" applyFont="1" applyBorder="1"/>
    <xf numFmtId="0" fontId="42" fillId="0" borderId="0" xfId="0" applyFont="1"/>
    <xf numFmtId="164" fontId="40" fillId="0" borderId="24" xfId="0" applyNumberFormat="1" applyFont="1" applyBorder="1"/>
    <xf numFmtId="0" fontId="42" fillId="0" borderId="24" xfId="0" applyFont="1" applyBorder="1" applyAlignment="1"/>
    <xf numFmtId="0" fontId="42" fillId="0" borderId="24" xfId="0" applyFont="1" applyBorder="1"/>
    <xf numFmtId="0" fontId="39" fillId="0" borderId="24" xfId="0" applyFont="1" applyBorder="1" applyAlignment="1"/>
    <xf numFmtId="0" fontId="39" fillId="0" borderId="0" xfId="0" applyFont="1" applyFill="1" applyAlignment="1" applyProtection="1">
      <alignment horizontal="center" vertical="top"/>
      <protection locked="0"/>
    </xf>
    <xf numFmtId="0" fontId="39" fillId="0" borderId="19" xfId="0" applyFont="1" applyBorder="1" applyAlignment="1">
      <alignment horizontal="center" vertical="center"/>
    </xf>
    <xf numFmtId="0" fontId="39" fillId="0" borderId="23" xfId="0" applyFont="1" applyBorder="1" applyAlignment="1">
      <alignment horizontal="center" vertical="center"/>
    </xf>
    <xf numFmtId="0" fontId="39" fillId="0" borderId="23" xfId="0" applyFont="1" applyFill="1" applyBorder="1" applyAlignment="1" applyProtection="1">
      <alignment horizontal="center" vertical="center"/>
      <protection locked="0"/>
    </xf>
    <xf numFmtId="0" fontId="39" fillId="0" borderId="21" xfId="0" applyFont="1" applyBorder="1" applyAlignment="1">
      <alignment horizontal="center" vertical="center"/>
    </xf>
    <xf numFmtId="1" fontId="39" fillId="0" borderId="21" xfId="0" applyNumberFormat="1" applyFont="1" applyFill="1" applyBorder="1" applyAlignment="1" applyProtection="1">
      <alignment horizontal="center" vertical="center"/>
      <protection locked="0"/>
    </xf>
    <xf numFmtId="0" fontId="39" fillId="0" borderId="25" xfId="0" applyFont="1" applyBorder="1"/>
    <xf numFmtId="49" fontId="39" fillId="0" borderId="25" xfId="0" applyNumberFormat="1" applyFont="1" applyFill="1" applyBorder="1" applyAlignment="1" applyProtection="1">
      <alignment horizontal="left" vertical="top"/>
      <protection locked="0"/>
    </xf>
    <xf numFmtId="0" fontId="39" fillId="0" borderId="25" xfId="0" applyFont="1" applyFill="1" applyBorder="1" applyAlignment="1" applyProtection="1">
      <alignment horizontal="left" vertical="top"/>
      <protection locked="0"/>
    </xf>
    <xf numFmtId="164" fontId="39" fillId="0" borderId="25" xfId="1" applyFont="1" applyBorder="1"/>
    <xf numFmtId="0" fontId="39" fillId="0" borderId="26" xfId="0" applyFont="1" applyBorder="1"/>
    <xf numFmtId="49" fontId="39" fillId="0" borderId="26" xfId="0" applyNumberFormat="1" applyFont="1" applyFill="1" applyBorder="1" applyAlignment="1" applyProtection="1">
      <alignment horizontal="left" vertical="top"/>
      <protection locked="0"/>
    </xf>
    <xf numFmtId="0" fontId="39" fillId="0" borderId="26" xfId="0" applyFont="1" applyFill="1" applyBorder="1" applyAlignment="1" applyProtection="1">
      <alignment horizontal="left" vertical="top"/>
      <protection locked="0"/>
    </xf>
    <xf numFmtId="164" fontId="39" fillId="0" borderId="26" xfId="1" applyFont="1" applyFill="1" applyBorder="1" applyAlignment="1" applyProtection="1">
      <alignment horizontal="right" vertical="top"/>
      <protection locked="0"/>
    </xf>
    <xf numFmtId="0" fontId="43" fillId="0" borderId="26" xfId="0" applyFont="1" applyBorder="1"/>
    <xf numFmtId="49" fontId="43" fillId="0" borderId="26" xfId="0" applyNumberFormat="1" applyFont="1" applyFill="1" applyBorder="1" applyAlignment="1" applyProtection="1">
      <alignment horizontal="left" vertical="top"/>
      <protection locked="0"/>
    </xf>
    <xf numFmtId="0" fontId="43" fillId="0" borderId="26" xfId="0" applyFont="1" applyFill="1" applyBorder="1" applyAlignment="1" applyProtection="1">
      <alignment horizontal="left" vertical="top"/>
      <protection locked="0"/>
    </xf>
    <xf numFmtId="164" fontId="43" fillId="0" borderId="26" xfId="1" applyFont="1" applyFill="1" applyBorder="1" applyAlignment="1" applyProtection="1">
      <alignment horizontal="right" vertical="top"/>
      <protection locked="0"/>
    </xf>
    <xf numFmtId="0" fontId="42" fillId="0" borderId="26" xfId="0" applyFont="1" applyBorder="1"/>
    <xf numFmtId="49" fontId="42" fillId="0" borderId="26" xfId="0" applyNumberFormat="1" applyFont="1" applyFill="1" applyBorder="1" applyAlignment="1" applyProtection="1">
      <alignment horizontal="left" vertical="top"/>
      <protection locked="0"/>
    </xf>
    <xf numFmtId="0" fontId="42" fillId="0" borderId="26" xfId="0" applyFont="1" applyFill="1" applyBorder="1" applyAlignment="1" applyProtection="1">
      <alignment horizontal="left" vertical="top"/>
      <protection locked="0"/>
    </xf>
    <xf numFmtId="164" fontId="42" fillId="0" borderId="26" xfId="1" applyFont="1" applyFill="1" applyBorder="1" applyAlignment="1" applyProtection="1">
      <alignment horizontal="right" vertical="top"/>
      <protection locked="0"/>
    </xf>
    <xf numFmtId="0" fontId="42" fillId="0" borderId="27" xfId="0" applyFont="1" applyBorder="1"/>
    <xf numFmtId="49" fontId="42" fillId="0" borderId="27" xfId="0" applyNumberFormat="1" applyFont="1" applyBorder="1"/>
    <xf numFmtId="0" fontId="39" fillId="0" borderId="27" xfId="0" applyFont="1" applyFill="1" applyBorder="1" applyAlignment="1" applyProtection="1">
      <alignment horizontal="center" vertical="top"/>
      <protection locked="0"/>
    </xf>
    <xf numFmtId="164" fontId="39" fillId="0" borderId="27" xfId="1" applyFont="1" applyFill="1" applyBorder="1" applyAlignment="1" applyProtection="1">
      <alignment horizontal="right" vertical="top"/>
      <protection locked="0"/>
    </xf>
    <xf numFmtId="0" fontId="42" fillId="0" borderId="25" xfId="0" applyFont="1" applyBorder="1"/>
    <xf numFmtId="49" fontId="42" fillId="0" borderId="25" xfId="0" applyNumberFormat="1" applyFont="1" applyFill="1" applyBorder="1" applyAlignment="1" applyProtection="1">
      <alignment horizontal="left" vertical="top"/>
      <protection locked="0"/>
    </xf>
    <xf numFmtId="164" fontId="42" fillId="0" borderId="25" xfId="1" applyFont="1" applyBorder="1"/>
    <xf numFmtId="49" fontId="39" fillId="0" borderId="26" xfId="0" applyNumberFormat="1" applyFont="1" applyBorder="1" applyAlignment="1">
      <alignment horizontal="center"/>
    </xf>
    <xf numFmtId="49" fontId="39" fillId="0" borderId="26" xfId="0" applyNumberFormat="1" applyFont="1" applyBorder="1"/>
    <xf numFmtId="49" fontId="42" fillId="0" borderId="26" xfId="0" applyNumberFormat="1" applyFont="1" applyBorder="1"/>
    <xf numFmtId="49" fontId="43" fillId="0" borderId="26" xfId="0" applyNumberFormat="1" applyFont="1" applyBorder="1"/>
    <xf numFmtId="49" fontId="39" fillId="0" borderId="26" xfId="0" applyNumberFormat="1" applyFont="1" applyFill="1" applyBorder="1" applyAlignment="1" applyProtection="1">
      <alignment horizontal="center" vertical="center"/>
      <protection locked="0"/>
    </xf>
    <xf numFmtId="0" fontId="39" fillId="0" borderId="26" xfId="0" applyFont="1" applyFill="1" applyBorder="1" applyAlignment="1" applyProtection="1">
      <alignment horizontal="left" vertical="top" wrapText="1"/>
      <protection locked="0"/>
    </xf>
    <xf numFmtId="164" fontId="39" fillId="0" borderId="26" xfId="1" applyFont="1" applyFill="1" applyBorder="1" applyAlignment="1" applyProtection="1">
      <alignment horizontal="right" vertical="center"/>
      <protection locked="0"/>
    </xf>
    <xf numFmtId="49" fontId="42" fillId="0" borderId="27" xfId="0" applyNumberFormat="1" applyFont="1" applyFill="1" applyBorder="1" applyAlignment="1" applyProtection="1">
      <alignment horizontal="left" vertical="top"/>
      <protection locked="0"/>
    </xf>
    <xf numFmtId="0" fontId="42" fillId="0" borderId="27" xfId="0" applyFont="1" applyFill="1" applyBorder="1" applyAlignment="1" applyProtection="1">
      <alignment horizontal="left" vertical="top"/>
      <protection locked="0"/>
    </xf>
    <xf numFmtId="164" fontId="42" fillId="0" borderId="27" xfId="1" applyFont="1" applyFill="1" applyBorder="1" applyAlignment="1" applyProtection="1">
      <alignment horizontal="right" vertical="top"/>
      <protection locked="0"/>
    </xf>
    <xf numFmtId="49" fontId="42" fillId="0" borderId="25" xfId="0" applyNumberFormat="1" applyFont="1" applyBorder="1"/>
    <xf numFmtId="164" fontId="39" fillId="0" borderId="25" xfId="1" applyFont="1" applyFill="1" applyBorder="1" applyAlignment="1" applyProtection="1">
      <alignment horizontal="right" vertical="top"/>
      <protection locked="0"/>
    </xf>
    <xf numFmtId="49" fontId="39" fillId="0" borderId="26" xfId="0" applyNumberFormat="1" applyFont="1" applyFill="1" applyBorder="1" applyAlignment="1" applyProtection="1">
      <alignment horizontal="left" vertical="center"/>
      <protection locked="0"/>
    </xf>
    <xf numFmtId="49" fontId="42" fillId="0" borderId="28" xfId="0" applyNumberFormat="1" applyFont="1" applyBorder="1"/>
    <xf numFmtId="49" fontId="42" fillId="0" borderId="28" xfId="0" applyNumberFormat="1" applyFont="1" applyFill="1" applyBorder="1" applyAlignment="1" applyProtection="1">
      <alignment horizontal="left" vertical="top"/>
      <protection locked="0"/>
    </xf>
    <xf numFmtId="0" fontId="42" fillId="0" borderId="28" xfId="0" applyFont="1" applyBorder="1"/>
    <xf numFmtId="0" fontId="42" fillId="0" borderId="28" xfId="0" applyFont="1" applyFill="1" applyBorder="1" applyAlignment="1" applyProtection="1">
      <alignment horizontal="left" vertical="top"/>
      <protection locked="0"/>
    </xf>
    <xf numFmtId="164" fontId="42" fillId="0" borderId="28" xfId="1" applyFont="1" applyFill="1" applyBorder="1" applyAlignment="1" applyProtection="1">
      <alignment horizontal="right" vertical="top"/>
      <protection locked="0"/>
    </xf>
    <xf numFmtId="49" fontId="39" fillId="0" borderId="29" xfId="0" applyNumberFormat="1" applyFont="1" applyBorder="1"/>
    <xf numFmtId="49" fontId="39" fillId="0" borderId="29" xfId="0" applyNumberFormat="1" applyFont="1" applyFill="1" applyBorder="1" applyAlignment="1" applyProtection="1">
      <alignment horizontal="left" vertical="top"/>
      <protection locked="0"/>
    </xf>
    <xf numFmtId="0" fontId="39" fillId="0" borderId="29" xfId="0" applyFont="1" applyBorder="1"/>
    <xf numFmtId="0" fontId="39" fillId="0" borderId="29" xfId="0" applyFont="1" applyFill="1" applyBorder="1" applyAlignment="1" applyProtection="1">
      <alignment horizontal="left" vertical="top"/>
      <protection locked="0"/>
    </xf>
    <xf numFmtId="164" fontId="39" fillId="0" borderId="29" xfId="1" applyFont="1" applyFill="1" applyBorder="1" applyAlignment="1" applyProtection="1">
      <alignment horizontal="right" vertical="top"/>
      <protection locked="0"/>
    </xf>
    <xf numFmtId="49" fontId="39" fillId="0" borderId="29" xfId="0" applyNumberFormat="1" applyFont="1" applyFill="1" applyBorder="1" applyAlignment="1" applyProtection="1">
      <alignment horizontal="left" vertical="center"/>
      <protection locked="0"/>
    </xf>
    <xf numFmtId="0" fontId="39" fillId="0" borderId="29" xfId="0" applyFont="1" applyFill="1" applyBorder="1" applyAlignment="1" applyProtection="1">
      <alignment horizontal="left" vertical="top" wrapText="1"/>
      <protection locked="0"/>
    </xf>
    <xf numFmtId="164" fontId="39" fillId="0" borderId="29" xfId="1" applyFont="1" applyFill="1" applyBorder="1" applyAlignment="1" applyProtection="1">
      <alignment horizontal="right" vertical="center"/>
      <protection locked="0"/>
    </xf>
    <xf numFmtId="49" fontId="39" fillId="0" borderId="25" xfId="0" applyNumberFormat="1" applyFont="1" applyBorder="1"/>
    <xf numFmtId="0" fontId="42" fillId="0" borderId="26" xfId="0" applyFont="1" applyFill="1" applyBorder="1" applyAlignment="1" applyProtection="1">
      <alignment horizontal="left" vertical="top" wrapText="1"/>
      <protection locked="0"/>
    </xf>
    <xf numFmtId="49" fontId="43" fillId="0" borderId="29" xfId="0" applyNumberFormat="1" applyFont="1" applyBorder="1"/>
    <xf numFmtId="49" fontId="43" fillId="0" borderId="29" xfId="0" applyNumberFormat="1" applyFont="1" applyFill="1" applyBorder="1" applyAlignment="1" applyProtection="1">
      <alignment horizontal="left" vertical="top"/>
      <protection locked="0"/>
    </xf>
    <xf numFmtId="0" fontId="43" fillId="0" borderId="29" xfId="0" applyFont="1" applyBorder="1"/>
    <xf numFmtId="0" fontId="43" fillId="0" borderId="29" xfId="0" applyFont="1" applyFill="1" applyBorder="1" applyAlignment="1" applyProtection="1">
      <alignment horizontal="left" vertical="top"/>
      <protection locked="0"/>
    </xf>
    <xf numFmtId="164" fontId="43" fillId="0" borderId="29" xfId="1" applyFont="1" applyFill="1" applyBorder="1" applyAlignment="1" applyProtection="1">
      <alignment horizontal="right" vertical="top"/>
      <protection locked="0"/>
    </xf>
    <xf numFmtId="49" fontId="42" fillId="0" borderId="24" xfId="0" applyNumberFormat="1" applyFont="1" applyBorder="1"/>
    <xf numFmtId="0" fontId="39" fillId="0" borderId="24" xfId="0" applyFont="1" applyFill="1" applyBorder="1" applyAlignment="1" applyProtection="1">
      <alignment horizontal="center" vertical="top"/>
      <protection locked="0"/>
    </xf>
    <xf numFmtId="164" fontId="39" fillId="0" borderId="24" xfId="1" applyFont="1" applyFill="1" applyBorder="1" applyAlignment="1" applyProtection="1">
      <alignment horizontal="right" vertical="top"/>
      <protection locked="0"/>
    </xf>
    <xf numFmtId="164" fontId="41" fillId="0" borderId="0" xfId="1" applyFont="1"/>
    <xf numFmtId="0" fontId="41" fillId="0" borderId="0" xfId="0" applyFont="1" applyAlignment="1">
      <alignment horizontal="center"/>
    </xf>
    <xf numFmtId="0" fontId="40" fillId="0" borderId="0" xfId="0" applyFont="1" applyAlignment="1">
      <alignment horizontal="center"/>
    </xf>
    <xf numFmtId="0" fontId="39" fillId="0" borderId="24" xfId="0" applyFont="1" applyBorder="1" applyAlignment="1">
      <alignment horizontal="center" vertical="center"/>
    </xf>
    <xf numFmtId="49" fontId="42" fillId="0" borderId="23" xfId="0" applyNumberFormat="1" applyFont="1" applyBorder="1"/>
    <xf numFmtId="49" fontId="42" fillId="0" borderId="23" xfId="0" applyNumberFormat="1" applyFont="1" applyFill="1" applyBorder="1" applyAlignment="1" applyProtection="1">
      <alignment horizontal="left" vertical="top"/>
      <protection locked="0"/>
    </xf>
    <xf numFmtId="0" fontId="42" fillId="0" borderId="23" xfId="0" applyFont="1" applyBorder="1"/>
    <xf numFmtId="0" fontId="42" fillId="0" borderId="23" xfId="0" applyFont="1" applyFill="1" applyBorder="1" applyAlignment="1" applyProtection="1">
      <alignment horizontal="left" vertical="top"/>
      <protection locked="0"/>
    </xf>
    <xf numFmtId="164" fontId="42" fillId="0" borderId="23" xfId="1" applyFont="1" applyFill="1" applyBorder="1" applyAlignment="1" applyProtection="1">
      <alignment horizontal="right" vertical="top"/>
      <protection locked="0"/>
    </xf>
    <xf numFmtId="164" fontId="42" fillId="0" borderId="29" xfId="1" applyFont="1" applyFill="1" applyBorder="1" applyAlignment="1" applyProtection="1">
      <alignment horizontal="right" vertical="top"/>
      <protection locked="0"/>
    </xf>
    <xf numFmtId="49" fontId="43" fillId="0" borderId="23" xfId="0" applyNumberFormat="1" applyFont="1" applyBorder="1"/>
    <xf numFmtId="0" fontId="39" fillId="0" borderId="26" xfId="0" applyFont="1" applyFill="1" applyBorder="1" applyAlignment="1" applyProtection="1">
      <alignment horizontal="left" vertical="top" wrapText="1"/>
      <protection locked="0"/>
    </xf>
    <xf numFmtId="0" fontId="39" fillId="0" borderId="24" xfId="0" applyFont="1" applyBorder="1" applyAlignment="1">
      <alignment horizontal="center" vertical="center"/>
    </xf>
    <xf numFmtId="0" fontId="39" fillId="0" borderId="23" xfId="0" applyFont="1" applyFill="1" applyBorder="1" applyAlignment="1" applyProtection="1">
      <alignment horizontal="center" vertical="center"/>
      <protection locked="0"/>
    </xf>
    <xf numFmtId="0" fontId="15" fillId="0" borderId="24" xfId="0" applyFont="1" applyBorder="1"/>
    <xf numFmtId="164" fontId="15" fillId="0" borderId="24" xfId="1" applyFont="1" applyBorder="1"/>
    <xf numFmtId="0" fontId="8" fillId="0" borderId="10" xfId="0" applyFont="1" applyBorder="1" applyAlignment="1">
      <alignment horizontal="center"/>
    </xf>
    <xf numFmtId="0" fontId="8" fillId="0" borderId="11" xfId="0" applyFont="1" applyBorder="1" applyAlignment="1">
      <alignment horizontal="center"/>
    </xf>
    <xf numFmtId="0" fontId="7" fillId="0" borderId="11" xfId="0" applyFont="1" applyBorder="1" applyAlignment="1">
      <alignment horizontal="left" wrapText="1"/>
    </xf>
    <xf numFmtId="0" fontId="7" fillId="0" borderId="11" xfId="0" applyFont="1" applyBorder="1" applyAlignment="1">
      <alignment horizontal="left"/>
    </xf>
    <xf numFmtId="0" fontId="8" fillId="0" borderId="1" xfId="0" applyFont="1" applyBorder="1" applyAlignment="1">
      <alignment horizontal="left"/>
    </xf>
    <xf numFmtId="0" fontId="8" fillId="0" borderId="2" xfId="0" applyFont="1" applyBorder="1" applyAlignment="1">
      <alignment horizontal="left"/>
    </xf>
    <xf numFmtId="0" fontId="8" fillId="0" borderId="8" xfId="0" applyFont="1" applyBorder="1" applyAlignment="1">
      <alignment horizontal="left"/>
    </xf>
    <xf numFmtId="0" fontId="8" fillId="0" borderId="0" xfId="0" applyFont="1" applyBorder="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165" fontId="11" fillId="3" borderId="0" xfId="0" applyNumberFormat="1" applyFont="1" applyFill="1" applyAlignment="1">
      <alignment horizontal="center"/>
    </xf>
    <xf numFmtId="165" fontId="11" fillId="0" borderId="0" xfId="0" applyNumberFormat="1" applyFont="1" applyAlignment="1">
      <alignment horizontal="left" wrapText="1"/>
    </xf>
    <xf numFmtId="0" fontId="11" fillId="0" borderId="0" xfId="0" applyNumberFormat="1" applyFont="1" applyAlignment="1">
      <alignment horizontal="left" wrapText="1"/>
    </xf>
    <xf numFmtId="0" fontId="11" fillId="0" borderId="0" xfId="0" applyFont="1" applyAlignment="1">
      <alignment horizontal="left" wrapText="1"/>
    </xf>
    <xf numFmtId="165" fontId="11" fillId="0" borderId="0" xfId="0" applyNumberFormat="1" applyFont="1" applyAlignment="1">
      <alignment horizontal="left"/>
    </xf>
    <xf numFmtId="0" fontId="11" fillId="0" borderId="0" xfId="0" applyFont="1" applyAlignment="1">
      <alignment horizontal="center"/>
    </xf>
    <xf numFmtId="165" fontId="11" fillId="0" borderId="0" xfId="0" applyNumberFormat="1" applyFont="1" applyAlignment="1">
      <alignment horizontal="left" vertical="center" wrapText="1"/>
    </xf>
    <xf numFmtId="0" fontId="11" fillId="0" borderId="0" xfId="0" applyNumberFormat="1" applyFont="1" applyAlignment="1">
      <alignment horizontal="left"/>
    </xf>
    <xf numFmtId="49" fontId="11" fillId="0" borderId="0" xfId="0" applyNumberFormat="1" applyFont="1" applyAlignment="1">
      <alignment horizontal="left" wrapText="1"/>
    </xf>
    <xf numFmtId="0" fontId="19" fillId="0" borderId="26" xfId="0" applyFont="1" applyFill="1" applyBorder="1" applyAlignment="1" applyProtection="1">
      <alignment horizontal="left" vertical="top" wrapText="1"/>
      <protection locked="0"/>
    </xf>
    <xf numFmtId="0" fontId="20" fillId="0" borderId="0" xfId="0" applyFont="1" applyFill="1" applyAlignment="1" applyProtection="1">
      <alignment horizontal="center" vertical="top"/>
      <protection locked="0"/>
    </xf>
    <xf numFmtId="0" fontId="19" fillId="0" borderId="24" xfId="0" applyFont="1" applyBorder="1" applyAlignment="1">
      <alignment horizontal="center" vertical="center"/>
    </xf>
    <xf numFmtId="1" fontId="19" fillId="0" borderId="24" xfId="0" applyNumberFormat="1"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wrapText="1"/>
      <protection locked="0"/>
    </xf>
    <xf numFmtId="0" fontId="19" fillId="0" borderId="23" xfId="0" applyFont="1" applyFill="1" applyBorder="1" applyAlignment="1" applyProtection="1">
      <alignment horizontal="center" vertical="center" wrapText="1"/>
      <protection locked="0"/>
    </xf>
    <xf numFmtId="0" fontId="19" fillId="0" borderId="21" xfId="0" applyFont="1" applyFill="1" applyBorder="1" applyAlignment="1" applyProtection="1">
      <alignment horizontal="center" vertical="center" wrapText="1"/>
      <protection locked="0"/>
    </xf>
    <xf numFmtId="164" fontId="15" fillId="0" borderId="0" xfId="1" applyFont="1" applyAlignment="1">
      <alignment horizontal="center"/>
    </xf>
    <xf numFmtId="0" fontId="15" fillId="0" borderId="0" xfId="0" applyFont="1" applyAlignment="1">
      <alignment horizontal="center"/>
    </xf>
    <xf numFmtId="0" fontId="15" fillId="0" borderId="0" xfId="0" applyFont="1" applyAlignment="1">
      <alignment horizontal="left"/>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164" fontId="16" fillId="0" borderId="20" xfId="1" applyFont="1" applyBorder="1" applyAlignment="1">
      <alignment horizontal="center" vertical="center" wrapText="1"/>
    </xf>
    <xf numFmtId="164" fontId="16" fillId="0" borderId="16" xfId="1" applyFont="1" applyBorder="1" applyAlignment="1">
      <alignment horizontal="center" vertical="center" wrapText="1"/>
    </xf>
    <xf numFmtId="0" fontId="15" fillId="0" borderId="20" xfId="0" applyFont="1" applyBorder="1" applyAlignment="1">
      <alignment horizontal="center"/>
    </xf>
    <xf numFmtId="0" fontId="15" fillId="0" borderId="15" xfId="0" applyFont="1" applyBorder="1" applyAlignment="1">
      <alignment horizontal="center"/>
    </xf>
    <xf numFmtId="0" fontId="15" fillId="0" borderId="16" xfId="0" applyFont="1" applyBorder="1" applyAlignment="1">
      <alignment horizontal="center"/>
    </xf>
    <xf numFmtId="0" fontId="35" fillId="0" borderId="19" xfId="0" applyFont="1" applyBorder="1" applyAlignment="1">
      <alignment horizontal="center" vertical="center"/>
    </xf>
    <xf numFmtId="0" fontId="35" fillId="0" borderId="21" xfId="0" applyFont="1" applyBorder="1" applyAlignment="1">
      <alignment horizontal="center" vertical="center"/>
    </xf>
    <xf numFmtId="0" fontId="35" fillId="0" borderId="24" xfId="0" applyFont="1" applyBorder="1" applyAlignment="1">
      <alignment horizontal="center" vertical="center"/>
    </xf>
    <xf numFmtId="0" fontId="35" fillId="3" borderId="24" xfId="0" applyFont="1" applyFill="1" applyBorder="1" applyAlignment="1">
      <alignment horizontal="center" vertical="center"/>
    </xf>
    <xf numFmtId="0" fontId="35" fillId="3" borderId="21" xfId="0" applyFont="1" applyFill="1" applyBorder="1" applyAlignment="1">
      <alignment horizontal="center" vertical="center"/>
    </xf>
    <xf numFmtId="0" fontId="33" fillId="3" borderId="0" xfId="0" applyFont="1" applyFill="1" applyAlignment="1">
      <alignment horizontal="center"/>
    </xf>
    <xf numFmtId="0" fontId="33" fillId="0" borderId="0" xfId="0" applyFont="1" applyAlignment="1">
      <alignment horizontal="center"/>
    </xf>
    <xf numFmtId="0" fontId="39" fillId="0" borderId="26" xfId="0" applyFont="1" applyFill="1" applyBorder="1" applyAlignment="1" applyProtection="1">
      <alignment horizontal="left" vertical="top" wrapText="1"/>
      <protection locked="0"/>
    </xf>
    <xf numFmtId="0" fontId="38" fillId="0" borderId="0" xfId="0" applyFont="1" applyAlignment="1">
      <alignment horizontal="center" vertical="center" wrapText="1"/>
    </xf>
    <xf numFmtId="49" fontId="38" fillId="0" borderId="0" xfId="0" applyNumberFormat="1" applyFont="1" applyAlignment="1">
      <alignment horizontal="center" vertical="center"/>
    </xf>
    <xf numFmtId="0" fontId="39" fillId="0" borderId="24" xfId="0" applyFont="1" applyBorder="1" applyAlignment="1">
      <alignment horizontal="center" vertical="center"/>
    </xf>
    <xf numFmtId="1" fontId="39" fillId="0" borderId="24" xfId="0" applyNumberFormat="1" applyFont="1" applyFill="1" applyBorder="1" applyAlignment="1" applyProtection="1">
      <alignment horizontal="center" vertical="center"/>
      <protection locked="0"/>
    </xf>
    <xf numFmtId="0" fontId="39" fillId="0" borderId="24" xfId="0" applyFont="1" applyFill="1" applyBorder="1" applyAlignment="1" applyProtection="1">
      <alignment horizontal="center" vertical="center"/>
      <protection locked="0"/>
    </xf>
    <xf numFmtId="0" fontId="39" fillId="0" borderId="19"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19" xfId="0" applyFont="1" applyFill="1" applyBorder="1" applyAlignment="1" applyProtection="1">
      <alignment horizontal="center" vertical="center" wrapText="1"/>
      <protection locked="0"/>
    </xf>
    <xf numFmtId="0" fontId="39" fillId="0" borderId="23" xfId="0" applyFont="1" applyFill="1" applyBorder="1" applyAlignment="1" applyProtection="1">
      <alignment horizontal="center" vertical="center" wrapText="1"/>
      <protection locked="0"/>
    </xf>
    <xf numFmtId="0" fontId="39" fillId="0" borderId="19" xfId="0" applyFont="1" applyFill="1" applyBorder="1" applyAlignment="1" applyProtection="1">
      <alignment horizontal="center" vertical="center"/>
      <protection locked="0"/>
    </xf>
    <xf numFmtId="0" fontId="39" fillId="0" borderId="23" xfId="0" applyFont="1" applyFill="1" applyBorder="1" applyAlignment="1" applyProtection="1">
      <alignment horizontal="center" vertical="center"/>
      <protection locked="0"/>
    </xf>
    <xf numFmtId="0" fontId="38" fillId="0" borderId="0" xfId="0" applyFont="1" applyAlignment="1">
      <alignment vertical="center" wrapText="1"/>
    </xf>
    <xf numFmtId="49" fontId="38" fillId="0" borderId="0" xfId="0" applyNumberFormat="1" applyFont="1" applyAlignment="1">
      <alignment vertical="center"/>
    </xf>
    <xf numFmtId="49" fontId="38" fillId="0" borderId="0" xfId="0" applyNumberFormat="1" applyFont="1" applyAlignment="1">
      <alignment horizontal="left" vertical="center" wrapText="1"/>
    </xf>
  </cellXfs>
  <cellStyles count="3">
    <cellStyle name="Comma" xfId="2" builtinId="3"/>
    <cellStyle name="Comma [0]" xfId="1"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laporan%20APBDes%20Per%20Kegiatan%202019.xls" TargetMode="External"/></Relationships>
</file>

<file path=xl/drawings/drawing1.xml><?xml version="1.0" encoding="utf-8"?>
<xdr:wsDr xmlns:xdr="http://schemas.openxmlformats.org/drawingml/2006/spreadsheetDrawing" xmlns:a="http://schemas.openxmlformats.org/drawingml/2006/main">
  <xdr:twoCellAnchor>
    <xdr:from>
      <xdr:col>9</xdr:col>
      <xdr:colOff>86591</xdr:colOff>
      <xdr:row>0</xdr:row>
      <xdr:rowOff>43295</xdr:rowOff>
    </xdr:from>
    <xdr:to>
      <xdr:col>9</xdr:col>
      <xdr:colOff>1004456</xdr:colOff>
      <xdr:row>3</xdr:row>
      <xdr:rowOff>112567</xdr:rowOff>
    </xdr:to>
    <xdr:sp macro="" textlink="">
      <xdr:nvSpPr>
        <xdr:cNvPr id="4" name="Right Arrow 3">
          <a:hlinkClick xmlns:r="http://schemas.openxmlformats.org/officeDocument/2006/relationships" r:id="rId1"/>
        </xdr:cNvPr>
        <xdr:cNvSpPr/>
      </xdr:nvSpPr>
      <xdr:spPr>
        <a:xfrm>
          <a:off x="6702136" y="43295"/>
          <a:ext cx="917865" cy="6667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800" b="1"/>
            <a:t>NEXT</a:t>
          </a:r>
          <a:endParaRPr lang="id-ID"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hatsApp%20Documents%20(2)/WhatsApp%20Documents/Laporan%20Bulanan%20APBDes%202020%20Manual%20Ok%20PAK%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hatsApp%20Documents/WhatsApp%20Documents/Laporan%20Bulanan%20APBDes%202020%20Manual%20Ok%20PA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Feb"/>
      <sheetName val="Mar"/>
      <sheetName val="Apr"/>
      <sheetName val="Mei"/>
      <sheetName val="Jun"/>
      <sheetName val="Juli"/>
      <sheetName val="Agsts"/>
      <sheetName val="Sept"/>
      <sheetName val="Okt"/>
      <sheetName val="Nov"/>
      <sheetName val="Des"/>
      <sheetName val="itung sil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3">
          <cell r="I13">
            <v>0</v>
          </cell>
        </row>
        <row r="14">
          <cell r="I14">
            <v>0</v>
          </cell>
        </row>
        <row r="17">
          <cell r="I17">
            <v>36900000</v>
          </cell>
        </row>
        <row r="18">
          <cell r="I18">
            <v>0</v>
          </cell>
        </row>
        <row r="19">
          <cell r="I19">
            <v>7854900</v>
          </cell>
        </row>
        <row r="23">
          <cell r="I23">
            <v>968086000</v>
          </cell>
        </row>
        <row r="26">
          <cell r="I26">
            <v>48582800</v>
          </cell>
        </row>
        <row r="29">
          <cell r="I29">
            <v>668469150</v>
          </cell>
        </row>
        <row r="32">
          <cell r="I32">
            <v>0</v>
          </cell>
        </row>
        <row r="36">
          <cell r="I36">
            <v>0</v>
          </cell>
        </row>
        <row r="39">
          <cell r="I39">
            <v>1664093</v>
          </cell>
        </row>
        <row r="42">
          <cell r="I42">
            <v>0</v>
          </cell>
        </row>
        <row r="53">
          <cell r="I53">
            <v>32820000</v>
          </cell>
        </row>
        <row r="54">
          <cell r="I54">
            <v>3000000</v>
          </cell>
        </row>
        <row r="59">
          <cell r="I59">
            <v>442015650</v>
          </cell>
        </row>
        <row r="60">
          <cell r="I60">
            <v>40562500</v>
          </cell>
        </row>
        <row r="65">
          <cell r="I65">
            <v>560900</v>
          </cell>
        </row>
        <row r="66">
          <cell r="I66">
            <v>9258300</v>
          </cell>
        </row>
        <row r="67">
          <cell r="I67">
            <v>1995048</v>
          </cell>
        </row>
        <row r="68">
          <cell r="I68">
            <v>26174260</v>
          </cell>
        </row>
        <row r="73">
          <cell r="I73">
            <v>7000000</v>
          </cell>
        </row>
        <row r="74">
          <cell r="I74">
            <v>885000</v>
          </cell>
        </row>
        <row r="75">
          <cell r="I75">
            <v>1800000</v>
          </cell>
        </row>
        <row r="76">
          <cell r="I76">
            <v>5481200</v>
          </cell>
        </row>
        <row r="78">
          <cell r="I78">
            <v>9900000</v>
          </cell>
        </row>
        <row r="80">
          <cell r="I80">
            <v>2400000</v>
          </cell>
        </row>
        <row r="81">
          <cell r="I81">
            <v>50000</v>
          </cell>
        </row>
        <row r="83">
          <cell r="I83">
            <v>349100</v>
          </cell>
        </row>
        <row r="84">
          <cell r="I84">
            <v>120000</v>
          </cell>
        </row>
        <row r="85">
          <cell r="I85">
            <v>0</v>
          </cell>
        </row>
        <row r="86">
          <cell r="I86">
            <v>80000</v>
          </cell>
        </row>
        <row r="94">
          <cell r="I94">
            <v>35750000</v>
          </cell>
        </row>
        <row r="95">
          <cell r="I95">
            <v>3250000</v>
          </cell>
        </row>
        <row r="100">
          <cell r="I100">
            <v>0</v>
          </cell>
        </row>
        <row r="101">
          <cell r="I101">
            <v>0</v>
          </cell>
        </row>
        <row r="102">
          <cell r="I102">
            <v>1546500</v>
          </cell>
        </row>
        <row r="104">
          <cell r="I104">
            <v>40000</v>
          </cell>
        </row>
        <row r="105">
          <cell r="I105">
            <v>50000</v>
          </cell>
        </row>
        <row r="110">
          <cell r="I110">
            <v>600000</v>
          </cell>
        </row>
        <row r="112">
          <cell r="I112">
            <v>9500000</v>
          </cell>
        </row>
        <row r="118">
          <cell r="I118">
            <v>9960000</v>
          </cell>
        </row>
        <row r="123">
          <cell r="I123">
            <v>504000</v>
          </cell>
        </row>
        <row r="128">
          <cell r="I128">
            <v>340000</v>
          </cell>
        </row>
        <row r="140">
          <cell r="I140">
            <v>0</v>
          </cell>
        </row>
        <row r="141">
          <cell r="I141">
            <v>0</v>
          </cell>
        </row>
        <row r="143">
          <cell r="I143">
            <v>0</v>
          </cell>
        </row>
        <row r="148">
          <cell r="I148">
            <v>65000</v>
          </cell>
        </row>
        <row r="149">
          <cell r="I149">
            <v>120000</v>
          </cell>
        </row>
        <row r="150">
          <cell r="I150">
            <v>360000</v>
          </cell>
        </row>
        <row r="155">
          <cell r="I155">
            <v>440000</v>
          </cell>
        </row>
        <row r="156">
          <cell r="I156">
            <v>393500</v>
          </cell>
        </row>
        <row r="157">
          <cell r="I157">
            <v>2720000</v>
          </cell>
        </row>
        <row r="159">
          <cell r="I159">
            <v>620000</v>
          </cell>
        </row>
        <row r="165">
          <cell r="I165">
            <v>530000</v>
          </cell>
        </row>
        <row r="166">
          <cell r="I166">
            <v>1206750</v>
          </cell>
        </row>
        <row r="167">
          <cell r="I167">
            <v>7920000</v>
          </cell>
        </row>
        <row r="172">
          <cell r="I172">
            <v>793000</v>
          </cell>
        </row>
        <row r="173">
          <cell r="I173">
            <v>3412500</v>
          </cell>
        </row>
        <row r="181">
          <cell r="I181">
            <v>200000</v>
          </cell>
        </row>
        <row r="182">
          <cell r="I182">
            <v>300000</v>
          </cell>
        </row>
        <row r="183">
          <cell r="I183">
            <v>1100000</v>
          </cell>
        </row>
        <row r="185">
          <cell r="I185">
            <v>4200000</v>
          </cell>
        </row>
        <row r="190">
          <cell r="I190">
            <v>400000</v>
          </cell>
        </row>
        <row r="191">
          <cell r="I191">
            <v>702500</v>
          </cell>
        </row>
        <row r="196">
          <cell r="I196">
            <v>0</v>
          </cell>
        </row>
        <row r="197">
          <cell r="I197">
            <v>0</v>
          </cell>
        </row>
        <row r="202">
          <cell r="I202">
            <v>60000</v>
          </cell>
        </row>
        <row r="203">
          <cell r="I203">
            <v>100000</v>
          </cell>
        </row>
        <row r="208">
          <cell r="I208">
            <v>1250000</v>
          </cell>
        </row>
        <row r="211">
          <cell r="I211">
            <v>0</v>
          </cell>
        </row>
        <row r="216">
          <cell r="I216">
            <v>480000</v>
          </cell>
        </row>
        <row r="217">
          <cell r="I217">
            <v>923500</v>
          </cell>
        </row>
        <row r="224">
          <cell r="I224">
            <v>185000</v>
          </cell>
        </row>
        <row r="225">
          <cell r="I225">
            <v>0</v>
          </cell>
        </row>
        <row r="226">
          <cell r="I226">
            <v>300000</v>
          </cell>
        </row>
        <row r="228">
          <cell r="I228">
            <v>0</v>
          </cell>
        </row>
        <row r="229">
          <cell r="I229">
            <v>0</v>
          </cell>
        </row>
        <row r="231">
          <cell r="I231">
            <v>0</v>
          </cell>
        </row>
        <row r="236">
          <cell r="I236">
            <v>20816000</v>
          </cell>
        </row>
        <row r="242">
          <cell r="I242">
            <v>2178000</v>
          </cell>
        </row>
        <row r="243">
          <cell r="I243">
            <v>492000</v>
          </cell>
        </row>
        <row r="244">
          <cell r="I244">
            <v>7065000</v>
          </cell>
        </row>
        <row r="246">
          <cell r="I246">
            <v>1950000</v>
          </cell>
        </row>
        <row r="247">
          <cell r="I247">
            <v>20580000</v>
          </cell>
        </row>
        <row r="249">
          <cell r="I249">
            <v>0</v>
          </cell>
        </row>
        <row r="251">
          <cell r="I251">
            <v>0</v>
          </cell>
        </row>
        <row r="252">
          <cell r="I252">
            <v>2000000</v>
          </cell>
        </row>
        <row r="254">
          <cell r="I254">
            <v>9390000</v>
          </cell>
        </row>
        <row r="264">
          <cell r="I264">
            <v>180000</v>
          </cell>
        </row>
        <row r="266">
          <cell r="I266">
            <v>450000</v>
          </cell>
        </row>
        <row r="268">
          <cell r="I268">
            <v>3183074</v>
          </cell>
        </row>
        <row r="275">
          <cell r="I275">
            <v>0</v>
          </cell>
        </row>
        <row r="276">
          <cell r="I276">
            <v>0</v>
          </cell>
        </row>
        <row r="278">
          <cell r="I278">
            <v>0</v>
          </cell>
        </row>
        <row r="279">
          <cell r="I279">
            <v>0</v>
          </cell>
        </row>
        <row r="280">
          <cell r="I280">
            <v>5700000</v>
          </cell>
        </row>
        <row r="282">
          <cell r="I282">
            <v>1794000</v>
          </cell>
        </row>
        <row r="287">
          <cell r="I287">
            <v>0</v>
          </cell>
        </row>
        <row r="288">
          <cell r="I288">
            <v>0</v>
          </cell>
        </row>
        <row r="290">
          <cell r="I290">
            <v>0</v>
          </cell>
        </row>
        <row r="292">
          <cell r="I292">
            <v>227500</v>
          </cell>
        </row>
        <row r="302">
          <cell r="I302">
            <v>100000</v>
          </cell>
        </row>
        <row r="303">
          <cell r="I303">
            <v>100000</v>
          </cell>
        </row>
        <row r="304">
          <cell r="I304">
            <v>180000</v>
          </cell>
        </row>
        <row r="305">
          <cell r="I305">
            <v>350000</v>
          </cell>
        </row>
        <row r="308">
          <cell r="I308">
            <v>0</v>
          </cell>
        </row>
        <row r="309">
          <cell r="I309">
            <v>27546000</v>
          </cell>
        </row>
        <row r="310">
          <cell r="I310">
            <v>0</v>
          </cell>
        </row>
        <row r="316">
          <cell r="I316">
            <v>100000</v>
          </cell>
        </row>
        <row r="317">
          <cell r="I317">
            <v>114750</v>
          </cell>
        </row>
        <row r="318">
          <cell r="I318">
            <v>3763750</v>
          </cell>
        </row>
        <row r="320">
          <cell r="I320">
            <v>450000</v>
          </cell>
        </row>
        <row r="321">
          <cell r="I321">
            <v>270000</v>
          </cell>
        </row>
        <row r="322">
          <cell r="I322">
            <v>19662500</v>
          </cell>
        </row>
        <row r="324">
          <cell r="I324">
            <v>800000</v>
          </cell>
        </row>
        <row r="329">
          <cell r="I329">
            <v>50000</v>
          </cell>
        </row>
        <row r="330">
          <cell r="I330">
            <v>1360000</v>
          </cell>
        </row>
        <row r="332">
          <cell r="I332">
            <v>450000</v>
          </cell>
        </row>
        <row r="333">
          <cell r="I333">
            <v>975000</v>
          </cell>
        </row>
        <row r="341">
          <cell r="I341">
            <v>300000</v>
          </cell>
        </row>
        <row r="342">
          <cell r="I342">
            <v>220000</v>
          </cell>
        </row>
        <row r="343">
          <cell r="I343">
            <v>4204500</v>
          </cell>
        </row>
        <row r="345">
          <cell r="I345">
            <v>0</v>
          </cell>
        </row>
        <row r="346">
          <cell r="I346">
            <v>400000</v>
          </cell>
        </row>
        <row r="349">
          <cell r="I349">
            <v>8850000</v>
          </cell>
        </row>
        <row r="354">
          <cell r="I354">
            <v>1040000</v>
          </cell>
        </row>
        <row r="356">
          <cell r="I356">
            <v>450000</v>
          </cell>
        </row>
        <row r="357">
          <cell r="I357">
            <v>750000</v>
          </cell>
        </row>
        <row r="362">
          <cell r="I362">
            <v>3250000</v>
          </cell>
        </row>
        <row r="367">
          <cell r="I367">
            <v>300000</v>
          </cell>
        </row>
        <row r="368">
          <cell r="I368">
            <v>300000</v>
          </cell>
        </row>
        <row r="369">
          <cell r="I369">
            <v>1200000</v>
          </cell>
        </row>
        <row r="371">
          <cell r="I371">
            <v>450000</v>
          </cell>
        </row>
        <row r="376">
          <cell r="I376">
            <v>243000</v>
          </cell>
        </row>
        <row r="378">
          <cell r="I378">
            <v>1620000</v>
          </cell>
        </row>
        <row r="385">
          <cell r="I385">
            <v>4860000</v>
          </cell>
        </row>
        <row r="390">
          <cell r="I390">
            <v>180000</v>
          </cell>
        </row>
        <row r="391">
          <cell r="I391">
            <v>100000</v>
          </cell>
        </row>
        <row r="392">
          <cell r="I392">
            <v>2018250</v>
          </cell>
        </row>
        <row r="394">
          <cell r="I394">
            <v>11797500</v>
          </cell>
        </row>
        <row r="399">
          <cell r="I399">
            <v>30000</v>
          </cell>
        </row>
        <row r="400">
          <cell r="I400">
            <v>1040000</v>
          </cell>
        </row>
        <row r="402">
          <cell r="I402">
            <v>450000</v>
          </cell>
        </row>
        <row r="403">
          <cell r="I403">
            <v>750000</v>
          </cell>
        </row>
        <row r="409">
          <cell r="I409">
            <v>50000</v>
          </cell>
        </row>
        <row r="410">
          <cell r="I410">
            <v>69750</v>
          </cell>
        </row>
        <row r="411">
          <cell r="I411">
            <v>0</v>
          </cell>
        </row>
        <row r="412">
          <cell r="I412">
            <v>525000</v>
          </cell>
        </row>
        <row r="415">
          <cell r="I415">
            <v>5000000</v>
          </cell>
        </row>
        <row r="416">
          <cell r="I416">
            <v>98902000</v>
          </cell>
        </row>
        <row r="417">
          <cell r="I417">
            <v>189967950</v>
          </cell>
        </row>
        <row r="418">
          <cell r="I418">
            <v>0</v>
          </cell>
        </row>
        <row r="426">
          <cell r="I426">
            <v>0</v>
          </cell>
        </row>
        <row r="427">
          <cell r="I427">
            <v>0</v>
          </cell>
        </row>
        <row r="428">
          <cell r="I428">
            <v>0</v>
          </cell>
        </row>
        <row r="429">
          <cell r="I429">
            <v>0</v>
          </cell>
        </row>
        <row r="432">
          <cell r="I432">
            <v>0</v>
          </cell>
        </row>
        <row r="433">
          <cell r="I433">
            <v>0</v>
          </cell>
        </row>
        <row r="434">
          <cell r="I434">
            <v>0</v>
          </cell>
        </row>
        <row r="439">
          <cell r="I439">
            <v>0</v>
          </cell>
        </row>
        <row r="440">
          <cell r="I440">
            <v>0</v>
          </cell>
        </row>
        <row r="441">
          <cell r="I441">
            <v>0</v>
          </cell>
        </row>
        <row r="442">
          <cell r="I442">
            <v>0</v>
          </cell>
        </row>
        <row r="445">
          <cell r="I445">
            <v>0</v>
          </cell>
        </row>
        <row r="446">
          <cell r="I446">
            <v>0</v>
          </cell>
        </row>
        <row r="451">
          <cell r="I451">
            <v>0</v>
          </cell>
        </row>
        <row r="452">
          <cell r="I452">
            <v>0</v>
          </cell>
        </row>
        <row r="455">
          <cell r="I455">
            <v>0</v>
          </cell>
        </row>
        <row r="456">
          <cell r="I456">
            <v>0</v>
          </cell>
        </row>
        <row r="464">
          <cell r="I464">
            <v>30000</v>
          </cell>
        </row>
        <row r="465">
          <cell r="I465">
            <v>30000</v>
          </cell>
        </row>
        <row r="466">
          <cell r="I466">
            <v>180000</v>
          </cell>
        </row>
        <row r="469">
          <cell r="I469">
            <v>0</v>
          </cell>
        </row>
        <row r="470">
          <cell r="I470">
            <v>9696000</v>
          </cell>
        </row>
        <row r="471">
          <cell r="I471">
            <v>0</v>
          </cell>
        </row>
        <row r="477">
          <cell r="I477">
            <v>0</v>
          </cell>
        </row>
        <row r="478">
          <cell r="I478">
            <v>0</v>
          </cell>
        </row>
        <row r="479">
          <cell r="I479">
            <v>0</v>
          </cell>
        </row>
        <row r="481">
          <cell r="I481">
            <v>0</v>
          </cell>
        </row>
        <row r="483">
          <cell r="I483">
            <v>0</v>
          </cell>
        </row>
        <row r="488">
          <cell r="I488">
            <v>0</v>
          </cell>
        </row>
        <row r="489">
          <cell r="I489">
            <v>0</v>
          </cell>
        </row>
        <row r="490">
          <cell r="I490">
            <v>0</v>
          </cell>
        </row>
        <row r="492">
          <cell r="I492">
            <v>0</v>
          </cell>
        </row>
        <row r="494">
          <cell r="I494">
            <v>0</v>
          </cell>
        </row>
        <row r="500">
          <cell r="I500">
            <v>1500000</v>
          </cell>
        </row>
        <row r="510">
          <cell r="I510">
            <v>1620000</v>
          </cell>
        </row>
        <row r="512">
          <cell r="I512">
            <v>450000</v>
          </cell>
        </row>
        <row r="518">
          <cell r="I518">
            <v>375000</v>
          </cell>
        </row>
        <row r="519">
          <cell r="I519">
            <v>0</v>
          </cell>
        </row>
        <row r="521">
          <cell r="I521">
            <v>0</v>
          </cell>
        </row>
        <row r="523">
          <cell r="I523">
            <v>0</v>
          </cell>
        </row>
        <row r="524">
          <cell r="I524">
            <v>0</v>
          </cell>
        </row>
        <row r="529">
          <cell r="I529">
            <v>0</v>
          </cell>
        </row>
        <row r="531">
          <cell r="I531">
            <v>0</v>
          </cell>
        </row>
        <row r="533">
          <cell r="I533">
            <v>0</v>
          </cell>
        </row>
        <row r="539">
          <cell r="I539">
            <v>50000</v>
          </cell>
        </row>
        <row r="540">
          <cell r="I540">
            <v>820000</v>
          </cell>
        </row>
        <row r="542">
          <cell r="I542">
            <v>450000</v>
          </cell>
        </row>
        <row r="549">
          <cell r="I549">
            <v>200000</v>
          </cell>
        </row>
        <row r="550">
          <cell r="I550">
            <v>100000</v>
          </cell>
        </row>
        <row r="551">
          <cell r="I551">
            <v>848250</v>
          </cell>
        </row>
        <row r="557">
          <cell r="I557">
            <v>50000</v>
          </cell>
        </row>
        <row r="558">
          <cell r="I558">
            <v>820000</v>
          </cell>
        </row>
        <row r="560">
          <cell r="I560">
            <v>450000</v>
          </cell>
        </row>
        <row r="565">
          <cell r="I565">
            <v>500000</v>
          </cell>
        </row>
        <row r="567">
          <cell r="I567">
            <v>450000</v>
          </cell>
        </row>
        <row r="572">
          <cell r="I572">
            <v>49000</v>
          </cell>
        </row>
        <row r="573">
          <cell r="I573">
            <v>33500</v>
          </cell>
        </row>
        <row r="574">
          <cell r="I574">
            <v>108750</v>
          </cell>
        </row>
        <row r="576">
          <cell r="I576">
            <v>2250000</v>
          </cell>
        </row>
        <row r="581">
          <cell r="I581">
            <v>0</v>
          </cell>
        </row>
        <row r="582">
          <cell r="I582">
            <v>0</v>
          </cell>
        </row>
        <row r="584">
          <cell r="I584">
            <v>0</v>
          </cell>
        </row>
        <row r="591">
          <cell r="I591">
            <v>0</v>
          </cell>
        </row>
        <row r="592">
          <cell r="I592">
            <v>1620000</v>
          </cell>
        </row>
        <row r="597">
          <cell r="I597">
            <v>50000</v>
          </cell>
        </row>
        <row r="598">
          <cell r="I598">
            <v>800000</v>
          </cell>
        </row>
        <row r="600">
          <cell r="I600">
            <v>450000</v>
          </cell>
        </row>
        <row r="605">
          <cell r="I605">
            <v>200000</v>
          </cell>
        </row>
        <row r="606">
          <cell r="I606">
            <v>100000</v>
          </cell>
        </row>
        <row r="607">
          <cell r="I607">
            <v>848250</v>
          </cell>
        </row>
        <row r="612">
          <cell r="I612">
            <v>100000</v>
          </cell>
        </row>
        <row r="613">
          <cell r="I613">
            <v>100000</v>
          </cell>
        </row>
        <row r="614">
          <cell r="I614">
            <v>1332000</v>
          </cell>
        </row>
        <row r="621">
          <cell r="I621">
            <v>0</v>
          </cell>
        </row>
        <row r="622">
          <cell r="I622">
            <v>0</v>
          </cell>
        </row>
        <row r="624">
          <cell r="I624">
            <v>0</v>
          </cell>
        </row>
        <row r="626">
          <cell r="I626">
            <v>0</v>
          </cell>
        </row>
        <row r="633">
          <cell r="I633">
            <v>240000</v>
          </cell>
        </row>
        <row r="634">
          <cell r="I634">
            <v>2762500</v>
          </cell>
        </row>
        <row r="635">
          <cell r="I635">
            <v>650000</v>
          </cell>
        </row>
        <row r="636">
          <cell r="I636">
            <v>550000</v>
          </cell>
        </row>
        <row r="638">
          <cell r="I638">
            <v>450000</v>
          </cell>
        </row>
        <row r="639">
          <cell r="I639">
            <v>390000</v>
          </cell>
        </row>
        <row r="645">
          <cell r="I645">
            <v>75000</v>
          </cell>
        </row>
        <row r="646">
          <cell r="I646">
            <v>240000</v>
          </cell>
        </row>
        <row r="648">
          <cell r="I648">
            <v>450000</v>
          </cell>
        </row>
        <row r="649">
          <cell r="I649">
            <v>135000</v>
          </cell>
        </row>
        <row r="655">
          <cell r="I655">
            <v>75000</v>
          </cell>
        </row>
        <row r="656">
          <cell r="I656">
            <v>5760000</v>
          </cell>
        </row>
        <row r="658">
          <cell r="I658">
            <v>0</v>
          </cell>
        </row>
        <row r="659">
          <cell r="I659">
            <v>0</v>
          </cell>
        </row>
        <row r="661">
          <cell r="I661">
            <v>0</v>
          </cell>
        </row>
        <row r="662">
          <cell r="I662">
            <v>0</v>
          </cell>
        </row>
        <row r="667">
          <cell r="I667">
            <v>0</v>
          </cell>
        </row>
        <row r="668">
          <cell r="I668">
            <v>0</v>
          </cell>
        </row>
        <row r="669">
          <cell r="I669">
            <v>0</v>
          </cell>
        </row>
        <row r="674">
          <cell r="I674">
            <v>0</v>
          </cell>
        </row>
        <row r="675">
          <cell r="I675">
            <v>0</v>
          </cell>
        </row>
        <row r="680">
          <cell r="I680">
            <v>0</v>
          </cell>
        </row>
        <row r="681">
          <cell r="I681">
            <v>0</v>
          </cell>
        </row>
        <row r="683">
          <cell r="I683">
            <v>0</v>
          </cell>
        </row>
        <row r="684">
          <cell r="I684">
            <v>0</v>
          </cell>
        </row>
        <row r="690">
          <cell r="I690">
            <v>155000</v>
          </cell>
        </row>
        <row r="691">
          <cell r="I691">
            <v>1340000</v>
          </cell>
        </row>
        <row r="693">
          <cell r="I693">
            <v>450000</v>
          </cell>
        </row>
        <row r="694">
          <cell r="I694">
            <v>975000</v>
          </cell>
        </row>
        <row r="700">
          <cell r="I700">
            <v>104750</v>
          </cell>
        </row>
        <row r="701">
          <cell r="I701">
            <v>600000</v>
          </cell>
        </row>
        <row r="703">
          <cell r="I703">
            <v>450000</v>
          </cell>
        </row>
        <row r="704">
          <cell r="I704">
            <v>600000</v>
          </cell>
        </row>
        <row r="706">
          <cell r="I706">
            <v>250000</v>
          </cell>
        </row>
        <row r="707">
          <cell r="I707">
            <v>500000</v>
          </cell>
        </row>
        <row r="718">
          <cell r="I718">
            <v>42811750</v>
          </cell>
        </row>
        <row r="724">
          <cell r="I724">
            <v>0</v>
          </cell>
        </row>
        <row r="730">
          <cell r="I730">
            <v>212400000</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Feb"/>
      <sheetName val="Mar"/>
      <sheetName val="Apr"/>
      <sheetName val="Mei"/>
      <sheetName val="Jun"/>
      <sheetName val="Juli"/>
      <sheetName val="Agsts"/>
      <sheetName val="Sept"/>
      <sheetName val="Okt"/>
      <sheetName val="Nov"/>
      <sheetName val="Des"/>
      <sheetName val="itung sil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3">
          <cell r="I13">
            <v>0</v>
          </cell>
        </row>
        <row r="14">
          <cell r="I14">
            <v>0</v>
          </cell>
        </row>
        <row r="17">
          <cell r="I17">
            <v>36900000</v>
          </cell>
        </row>
        <row r="18">
          <cell r="I18">
            <v>0</v>
          </cell>
        </row>
        <row r="19">
          <cell r="I19">
            <v>7854900</v>
          </cell>
        </row>
        <row r="23">
          <cell r="I23">
            <v>968086000</v>
          </cell>
        </row>
        <row r="26">
          <cell r="I26">
            <v>48582800</v>
          </cell>
        </row>
        <row r="29">
          <cell r="I29">
            <v>668469150</v>
          </cell>
        </row>
        <row r="32">
          <cell r="I32">
            <v>0</v>
          </cell>
        </row>
        <row r="36">
          <cell r="I36">
            <v>0</v>
          </cell>
        </row>
        <row r="39">
          <cell r="I39">
            <v>1664093</v>
          </cell>
        </row>
        <row r="42">
          <cell r="I42">
            <v>0</v>
          </cell>
        </row>
        <row r="53">
          <cell r="I53">
            <v>32820000</v>
          </cell>
        </row>
        <row r="54">
          <cell r="I54">
            <v>3000000</v>
          </cell>
        </row>
        <row r="59">
          <cell r="I59">
            <v>442015650</v>
          </cell>
        </row>
        <row r="60">
          <cell r="I60">
            <v>40562500</v>
          </cell>
        </row>
        <row r="65">
          <cell r="I65">
            <v>560900</v>
          </cell>
        </row>
        <row r="66">
          <cell r="I66">
            <v>9258300</v>
          </cell>
        </row>
        <row r="67">
          <cell r="I67">
            <v>1995048</v>
          </cell>
        </row>
        <row r="68">
          <cell r="I68">
            <v>26174260</v>
          </cell>
        </row>
        <row r="73">
          <cell r="I73">
            <v>7000000</v>
          </cell>
        </row>
        <row r="74">
          <cell r="I74">
            <v>885000</v>
          </cell>
        </row>
        <row r="75">
          <cell r="I75">
            <v>1800000</v>
          </cell>
        </row>
        <row r="76">
          <cell r="I76">
            <v>5481200</v>
          </cell>
        </row>
        <row r="78">
          <cell r="I78">
            <v>9900000</v>
          </cell>
        </row>
        <row r="80">
          <cell r="I80">
            <v>2400000</v>
          </cell>
        </row>
        <row r="81">
          <cell r="I81">
            <v>50000</v>
          </cell>
        </row>
        <row r="83">
          <cell r="I83">
            <v>349100</v>
          </cell>
        </row>
        <row r="84">
          <cell r="I84">
            <v>120000</v>
          </cell>
        </row>
        <row r="85">
          <cell r="I85">
            <v>0</v>
          </cell>
        </row>
        <row r="86">
          <cell r="I86">
            <v>80000</v>
          </cell>
        </row>
        <row r="94">
          <cell r="I94">
            <v>35750000</v>
          </cell>
        </row>
        <row r="95">
          <cell r="I95">
            <v>3250000</v>
          </cell>
        </row>
        <row r="100">
          <cell r="I100">
            <v>0</v>
          </cell>
        </row>
        <row r="101">
          <cell r="I101">
            <v>0</v>
          </cell>
        </row>
        <row r="102">
          <cell r="I102">
            <v>1546500</v>
          </cell>
        </row>
        <row r="104">
          <cell r="I104">
            <v>40000</v>
          </cell>
        </row>
        <row r="105">
          <cell r="I105">
            <v>50000</v>
          </cell>
        </row>
        <row r="110">
          <cell r="I110">
            <v>600000</v>
          </cell>
        </row>
        <row r="112">
          <cell r="I112">
            <v>9500000</v>
          </cell>
        </row>
        <row r="118">
          <cell r="I118">
            <v>9960000</v>
          </cell>
        </row>
        <row r="123">
          <cell r="I123">
            <v>504000</v>
          </cell>
        </row>
        <row r="128">
          <cell r="I128">
            <v>340000</v>
          </cell>
        </row>
        <row r="140">
          <cell r="I140">
            <v>0</v>
          </cell>
        </row>
        <row r="141">
          <cell r="I141">
            <v>0</v>
          </cell>
        </row>
        <row r="143">
          <cell r="I143">
            <v>0</v>
          </cell>
        </row>
        <row r="148">
          <cell r="I148">
            <v>65000</v>
          </cell>
        </row>
        <row r="149">
          <cell r="I149">
            <v>120000</v>
          </cell>
        </row>
        <row r="150">
          <cell r="I150">
            <v>360000</v>
          </cell>
        </row>
        <row r="155">
          <cell r="I155">
            <v>440000</v>
          </cell>
        </row>
        <row r="156">
          <cell r="I156">
            <v>393500</v>
          </cell>
        </row>
        <row r="157">
          <cell r="I157">
            <v>2720000</v>
          </cell>
        </row>
        <row r="159">
          <cell r="I159">
            <v>620000</v>
          </cell>
        </row>
        <row r="165">
          <cell r="I165">
            <v>530000</v>
          </cell>
        </row>
        <row r="166">
          <cell r="I166">
            <v>1206750</v>
          </cell>
        </row>
        <row r="167">
          <cell r="I167">
            <v>7920000</v>
          </cell>
        </row>
        <row r="172">
          <cell r="I172">
            <v>793000</v>
          </cell>
        </row>
        <row r="173">
          <cell r="I173">
            <v>3412500</v>
          </cell>
        </row>
        <row r="181">
          <cell r="I181">
            <v>200000</v>
          </cell>
        </row>
        <row r="182">
          <cell r="I182">
            <v>300000</v>
          </cell>
        </row>
        <row r="183">
          <cell r="I183">
            <v>1100000</v>
          </cell>
        </row>
        <row r="185">
          <cell r="I185">
            <v>4200000</v>
          </cell>
        </row>
        <row r="190">
          <cell r="I190">
            <v>400000</v>
          </cell>
        </row>
        <row r="191">
          <cell r="I191">
            <v>702500</v>
          </cell>
        </row>
        <row r="196">
          <cell r="I196">
            <v>0</v>
          </cell>
        </row>
        <row r="197">
          <cell r="I197">
            <v>0</v>
          </cell>
        </row>
        <row r="202">
          <cell r="I202">
            <v>60000</v>
          </cell>
        </row>
        <row r="203">
          <cell r="I203">
            <v>100000</v>
          </cell>
        </row>
        <row r="208">
          <cell r="I208">
            <v>1250000</v>
          </cell>
        </row>
        <row r="211">
          <cell r="I211">
            <v>0</v>
          </cell>
        </row>
        <row r="216">
          <cell r="I216">
            <v>480000</v>
          </cell>
        </row>
        <row r="217">
          <cell r="I217">
            <v>923500</v>
          </cell>
        </row>
        <row r="224">
          <cell r="I224">
            <v>185000</v>
          </cell>
        </row>
        <row r="225">
          <cell r="I225">
            <v>0</v>
          </cell>
        </row>
        <row r="226">
          <cell r="I226">
            <v>300000</v>
          </cell>
        </row>
        <row r="228">
          <cell r="I228">
            <v>0</v>
          </cell>
        </row>
        <row r="229">
          <cell r="I229">
            <v>0</v>
          </cell>
        </row>
        <row r="231">
          <cell r="I231">
            <v>0</v>
          </cell>
        </row>
        <row r="236">
          <cell r="I236">
            <v>20816000</v>
          </cell>
        </row>
        <row r="242">
          <cell r="I242">
            <v>2178000</v>
          </cell>
        </row>
        <row r="243">
          <cell r="I243">
            <v>492000</v>
          </cell>
        </row>
        <row r="244">
          <cell r="I244">
            <v>7065000</v>
          </cell>
        </row>
        <row r="246">
          <cell r="I246">
            <v>1950000</v>
          </cell>
        </row>
        <row r="247">
          <cell r="I247">
            <v>20580000</v>
          </cell>
        </row>
        <row r="249">
          <cell r="I249">
            <v>0</v>
          </cell>
        </row>
        <row r="251">
          <cell r="I251">
            <v>0</v>
          </cell>
        </row>
        <row r="252">
          <cell r="I252">
            <v>2000000</v>
          </cell>
        </row>
        <row r="254">
          <cell r="I254">
            <v>9390000</v>
          </cell>
        </row>
        <row r="264">
          <cell r="I264">
            <v>180000</v>
          </cell>
        </row>
        <row r="266">
          <cell r="I266">
            <v>450000</v>
          </cell>
        </row>
        <row r="268">
          <cell r="I268">
            <v>3183074</v>
          </cell>
        </row>
        <row r="275">
          <cell r="I275">
            <v>0</v>
          </cell>
        </row>
        <row r="276">
          <cell r="I276">
            <v>0</v>
          </cell>
        </row>
        <row r="278">
          <cell r="I278">
            <v>0</v>
          </cell>
        </row>
        <row r="279">
          <cell r="I279">
            <v>0</v>
          </cell>
        </row>
        <row r="280">
          <cell r="I280">
            <v>5700000</v>
          </cell>
        </row>
        <row r="282">
          <cell r="I282">
            <v>1794000</v>
          </cell>
        </row>
        <row r="287">
          <cell r="I287">
            <v>0</v>
          </cell>
        </row>
        <row r="288">
          <cell r="I288">
            <v>0</v>
          </cell>
        </row>
        <row r="290">
          <cell r="I290">
            <v>0</v>
          </cell>
        </row>
        <row r="292">
          <cell r="I292">
            <v>227500</v>
          </cell>
        </row>
        <row r="302">
          <cell r="I302">
            <v>100000</v>
          </cell>
        </row>
        <row r="303">
          <cell r="I303">
            <v>100000</v>
          </cell>
        </row>
        <row r="304">
          <cell r="I304">
            <v>180000</v>
          </cell>
        </row>
        <row r="305">
          <cell r="I305">
            <v>350000</v>
          </cell>
        </row>
        <row r="308">
          <cell r="I308">
            <v>0</v>
          </cell>
        </row>
        <row r="309">
          <cell r="I309">
            <v>27546000</v>
          </cell>
        </row>
        <row r="310">
          <cell r="I310">
            <v>0</v>
          </cell>
        </row>
        <row r="316">
          <cell r="I316">
            <v>100000</v>
          </cell>
        </row>
        <row r="317">
          <cell r="I317">
            <v>114750</v>
          </cell>
        </row>
        <row r="318">
          <cell r="I318">
            <v>3763750</v>
          </cell>
        </row>
        <row r="320">
          <cell r="I320">
            <v>450000</v>
          </cell>
        </row>
        <row r="321">
          <cell r="I321">
            <v>270000</v>
          </cell>
        </row>
        <row r="322">
          <cell r="I322">
            <v>19662500</v>
          </cell>
        </row>
        <row r="324">
          <cell r="I324">
            <v>800000</v>
          </cell>
        </row>
        <row r="329">
          <cell r="I329">
            <v>50000</v>
          </cell>
        </row>
        <row r="330">
          <cell r="I330">
            <v>1360000</v>
          </cell>
        </row>
        <row r="332">
          <cell r="I332">
            <v>450000</v>
          </cell>
        </row>
        <row r="333">
          <cell r="I333">
            <v>975000</v>
          </cell>
        </row>
        <row r="341">
          <cell r="I341">
            <v>300000</v>
          </cell>
        </row>
        <row r="342">
          <cell r="I342">
            <v>220000</v>
          </cell>
        </row>
        <row r="343">
          <cell r="I343">
            <v>4204500</v>
          </cell>
        </row>
        <row r="345">
          <cell r="I345">
            <v>0</v>
          </cell>
        </row>
        <row r="346">
          <cell r="I346">
            <v>400000</v>
          </cell>
        </row>
        <row r="349">
          <cell r="I349">
            <v>8850000</v>
          </cell>
        </row>
        <row r="354">
          <cell r="I354">
            <v>1040000</v>
          </cell>
        </row>
        <row r="356">
          <cell r="I356">
            <v>450000</v>
          </cell>
        </row>
        <row r="357">
          <cell r="I357">
            <v>750000</v>
          </cell>
        </row>
        <row r="362">
          <cell r="I362">
            <v>3250000</v>
          </cell>
        </row>
        <row r="367">
          <cell r="I367">
            <v>300000</v>
          </cell>
        </row>
        <row r="368">
          <cell r="I368">
            <v>300000</v>
          </cell>
        </row>
        <row r="369">
          <cell r="I369">
            <v>1200000</v>
          </cell>
        </row>
        <row r="371">
          <cell r="I371">
            <v>450000</v>
          </cell>
        </row>
        <row r="376">
          <cell r="I376">
            <v>243000</v>
          </cell>
        </row>
        <row r="378">
          <cell r="I378">
            <v>1620000</v>
          </cell>
        </row>
        <row r="385">
          <cell r="I385">
            <v>4860000</v>
          </cell>
        </row>
        <row r="390">
          <cell r="I390">
            <v>180000</v>
          </cell>
        </row>
        <row r="391">
          <cell r="I391">
            <v>100000</v>
          </cell>
        </row>
        <row r="392">
          <cell r="I392">
            <v>2018250</v>
          </cell>
        </row>
        <row r="394">
          <cell r="I394">
            <v>11797500</v>
          </cell>
        </row>
        <row r="399">
          <cell r="I399">
            <v>30000</v>
          </cell>
        </row>
        <row r="400">
          <cell r="I400">
            <v>1040000</v>
          </cell>
        </row>
        <row r="402">
          <cell r="I402">
            <v>450000</v>
          </cell>
        </row>
        <row r="403">
          <cell r="I403">
            <v>750000</v>
          </cell>
        </row>
        <row r="409">
          <cell r="I409">
            <v>50000</v>
          </cell>
        </row>
        <row r="410">
          <cell r="I410">
            <v>69750</v>
          </cell>
        </row>
        <row r="411">
          <cell r="I411">
            <v>0</v>
          </cell>
        </row>
        <row r="412">
          <cell r="I412">
            <v>525000</v>
          </cell>
        </row>
        <row r="415">
          <cell r="I415">
            <v>5000000</v>
          </cell>
        </row>
        <row r="416">
          <cell r="I416">
            <v>98902000</v>
          </cell>
        </row>
        <row r="417">
          <cell r="I417">
            <v>189967950</v>
          </cell>
        </row>
        <row r="418">
          <cell r="I418">
            <v>0</v>
          </cell>
        </row>
        <row r="426">
          <cell r="I426">
            <v>0</v>
          </cell>
        </row>
        <row r="427">
          <cell r="I427">
            <v>0</v>
          </cell>
        </row>
        <row r="428">
          <cell r="I428">
            <v>0</v>
          </cell>
        </row>
        <row r="429">
          <cell r="I429">
            <v>0</v>
          </cell>
        </row>
        <row r="432">
          <cell r="I432">
            <v>0</v>
          </cell>
        </row>
        <row r="433">
          <cell r="I433">
            <v>0</v>
          </cell>
        </row>
        <row r="434">
          <cell r="I434">
            <v>0</v>
          </cell>
        </row>
        <row r="439">
          <cell r="I439">
            <v>0</v>
          </cell>
        </row>
        <row r="440">
          <cell r="I440">
            <v>0</v>
          </cell>
        </row>
        <row r="441">
          <cell r="I441">
            <v>0</v>
          </cell>
        </row>
        <row r="442">
          <cell r="I442">
            <v>0</v>
          </cell>
        </row>
        <row r="445">
          <cell r="I445">
            <v>0</v>
          </cell>
        </row>
        <row r="446">
          <cell r="I446">
            <v>0</v>
          </cell>
        </row>
        <row r="451">
          <cell r="I451">
            <v>0</v>
          </cell>
        </row>
        <row r="452">
          <cell r="I452">
            <v>0</v>
          </cell>
        </row>
        <row r="455">
          <cell r="I455">
            <v>0</v>
          </cell>
        </row>
        <row r="456">
          <cell r="I456">
            <v>0</v>
          </cell>
        </row>
        <row r="464">
          <cell r="I464">
            <v>30000</v>
          </cell>
        </row>
        <row r="465">
          <cell r="I465">
            <v>30000</v>
          </cell>
        </row>
        <row r="466">
          <cell r="I466">
            <v>180000</v>
          </cell>
        </row>
        <row r="469">
          <cell r="I469">
            <v>0</v>
          </cell>
        </row>
        <row r="470">
          <cell r="I470">
            <v>9696000</v>
          </cell>
        </row>
        <row r="471">
          <cell r="I471">
            <v>0</v>
          </cell>
        </row>
        <row r="477">
          <cell r="I477">
            <v>0</v>
          </cell>
        </row>
        <row r="478">
          <cell r="I478">
            <v>0</v>
          </cell>
        </row>
        <row r="479">
          <cell r="I479">
            <v>0</v>
          </cell>
        </row>
        <row r="481">
          <cell r="I481">
            <v>0</v>
          </cell>
        </row>
        <row r="483">
          <cell r="I483">
            <v>0</v>
          </cell>
        </row>
        <row r="488">
          <cell r="I488">
            <v>0</v>
          </cell>
        </row>
        <row r="489">
          <cell r="I489">
            <v>0</v>
          </cell>
        </row>
        <row r="490">
          <cell r="I490">
            <v>0</v>
          </cell>
        </row>
        <row r="492">
          <cell r="I492">
            <v>0</v>
          </cell>
        </row>
        <row r="494">
          <cell r="I494">
            <v>0</v>
          </cell>
        </row>
        <row r="500">
          <cell r="I500">
            <v>1500000</v>
          </cell>
        </row>
        <row r="510">
          <cell r="I510">
            <v>1620000</v>
          </cell>
        </row>
        <row r="512">
          <cell r="I512">
            <v>450000</v>
          </cell>
        </row>
        <row r="518">
          <cell r="I518">
            <v>375000</v>
          </cell>
        </row>
        <row r="519">
          <cell r="I519">
            <v>0</v>
          </cell>
        </row>
        <row r="521">
          <cell r="I521">
            <v>0</v>
          </cell>
        </row>
        <row r="523">
          <cell r="I523">
            <v>0</v>
          </cell>
        </row>
        <row r="524">
          <cell r="I524">
            <v>0</v>
          </cell>
        </row>
        <row r="529">
          <cell r="I529">
            <v>0</v>
          </cell>
        </row>
        <row r="531">
          <cell r="I531">
            <v>0</v>
          </cell>
        </row>
        <row r="533">
          <cell r="I533">
            <v>0</v>
          </cell>
        </row>
        <row r="539">
          <cell r="I539">
            <v>50000</v>
          </cell>
        </row>
        <row r="540">
          <cell r="I540">
            <v>820000</v>
          </cell>
        </row>
        <row r="542">
          <cell r="I542">
            <v>450000</v>
          </cell>
        </row>
        <row r="549">
          <cell r="I549">
            <v>200000</v>
          </cell>
        </row>
        <row r="550">
          <cell r="I550">
            <v>100000</v>
          </cell>
        </row>
        <row r="551">
          <cell r="I551">
            <v>848250</v>
          </cell>
        </row>
        <row r="557">
          <cell r="I557">
            <v>50000</v>
          </cell>
        </row>
        <row r="558">
          <cell r="I558">
            <v>820000</v>
          </cell>
        </row>
        <row r="560">
          <cell r="I560">
            <v>450000</v>
          </cell>
        </row>
        <row r="565">
          <cell r="I565">
            <v>500000</v>
          </cell>
        </row>
        <row r="567">
          <cell r="I567">
            <v>450000</v>
          </cell>
        </row>
        <row r="572">
          <cell r="I572">
            <v>49000</v>
          </cell>
        </row>
        <row r="573">
          <cell r="I573">
            <v>33500</v>
          </cell>
        </row>
        <row r="574">
          <cell r="I574">
            <v>108750</v>
          </cell>
        </row>
        <row r="576">
          <cell r="I576">
            <v>2250000</v>
          </cell>
        </row>
        <row r="581">
          <cell r="I581">
            <v>0</v>
          </cell>
        </row>
        <row r="582">
          <cell r="I582">
            <v>0</v>
          </cell>
        </row>
        <row r="584">
          <cell r="I584">
            <v>0</v>
          </cell>
        </row>
        <row r="591">
          <cell r="I591">
            <v>0</v>
          </cell>
        </row>
        <row r="592">
          <cell r="I592">
            <v>1620000</v>
          </cell>
        </row>
        <row r="597">
          <cell r="I597">
            <v>50000</v>
          </cell>
        </row>
        <row r="598">
          <cell r="I598">
            <v>800000</v>
          </cell>
        </row>
        <row r="600">
          <cell r="I600">
            <v>450000</v>
          </cell>
        </row>
        <row r="605">
          <cell r="I605">
            <v>200000</v>
          </cell>
        </row>
        <row r="606">
          <cell r="I606">
            <v>100000</v>
          </cell>
        </row>
        <row r="607">
          <cell r="I607">
            <v>848250</v>
          </cell>
        </row>
        <row r="612">
          <cell r="I612">
            <v>100000</v>
          </cell>
        </row>
        <row r="613">
          <cell r="I613">
            <v>100000</v>
          </cell>
        </row>
        <row r="614">
          <cell r="I614">
            <v>1332000</v>
          </cell>
        </row>
        <row r="621">
          <cell r="I621">
            <v>0</v>
          </cell>
        </row>
        <row r="622">
          <cell r="I622">
            <v>0</v>
          </cell>
        </row>
        <row r="624">
          <cell r="I624">
            <v>0</v>
          </cell>
        </row>
        <row r="626">
          <cell r="I626">
            <v>0</v>
          </cell>
        </row>
        <row r="633">
          <cell r="I633">
            <v>240000</v>
          </cell>
        </row>
        <row r="634">
          <cell r="I634">
            <v>2762500</v>
          </cell>
        </row>
        <row r="635">
          <cell r="I635">
            <v>650000</v>
          </cell>
        </row>
        <row r="636">
          <cell r="I636">
            <v>550000</v>
          </cell>
        </row>
        <row r="638">
          <cell r="I638">
            <v>450000</v>
          </cell>
        </row>
        <row r="639">
          <cell r="I639">
            <v>390000</v>
          </cell>
        </row>
        <row r="645">
          <cell r="I645">
            <v>75000</v>
          </cell>
        </row>
        <row r="646">
          <cell r="I646">
            <v>240000</v>
          </cell>
        </row>
        <row r="648">
          <cell r="I648">
            <v>450000</v>
          </cell>
        </row>
        <row r="649">
          <cell r="I649">
            <v>135000</v>
          </cell>
        </row>
        <row r="655">
          <cell r="I655">
            <v>75000</v>
          </cell>
        </row>
        <row r="656">
          <cell r="I656">
            <v>5760000</v>
          </cell>
        </row>
        <row r="658">
          <cell r="I658">
            <v>0</v>
          </cell>
        </row>
        <row r="659">
          <cell r="I659">
            <v>0</v>
          </cell>
        </row>
        <row r="661">
          <cell r="I661">
            <v>0</v>
          </cell>
        </row>
        <row r="662">
          <cell r="I662">
            <v>0</v>
          </cell>
        </row>
        <row r="667">
          <cell r="I667">
            <v>0</v>
          </cell>
        </row>
        <row r="668">
          <cell r="I668">
            <v>0</v>
          </cell>
        </row>
        <row r="669">
          <cell r="I669">
            <v>0</v>
          </cell>
        </row>
        <row r="674">
          <cell r="I674">
            <v>0</v>
          </cell>
        </row>
        <row r="675">
          <cell r="I675">
            <v>0</v>
          </cell>
        </row>
        <row r="680">
          <cell r="I680">
            <v>0</v>
          </cell>
        </row>
        <row r="681">
          <cell r="I681">
            <v>0</v>
          </cell>
        </row>
        <row r="683">
          <cell r="I683">
            <v>0</v>
          </cell>
        </row>
        <row r="684">
          <cell r="I684">
            <v>0</v>
          </cell>
        </row>
        <row r="690">
          <cell r="I690">
            <v>155000</v>
          </cell>
        </row>
        <row r="691">
          <cell r="I691">
            <v>1340000</v>
          </cell>
        </row>
        <row r="693">
          <cell r="I693">
            <v>450000</v>
          </cell>
        </row>
        <row r="694">
          <cell r="I694">
            <v>975000</v>
          </cell>
        </row>
        <row r="700">
          <cell r="I700">
            <v>104750</v>
          </cell>
        </row>
        <row r="701">
          <cell r="I701">
            <v>600000</v>
          </cell>
        </row>
        <row r="703">
          <cell r="I703">
            <v>450000</v>
          </cell>
        </row>
        <row r="704">
          <cell r="I704">
            <v>600000</v>
          </cell>
        </row>
        <row r="706">
          <cell r="I706">
            <v>250000</v>
          </cell>
        </row>
        <row r="707">
          <cell r="I707">
            <v>500000</v>
          </cell>
        </row>
        <row r="718">
          <cell r="I718">
            <v>42811750</v>
          </cell>
        </row>
        <row r="724">
          <cell r="I724">
            <v>0</v>
          </cell>
        </row>
        <row r="730">
          <cell r="I730">
            <v>212400000</v>
          </cell>
        </row>
      </sheetData>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9" zoomScaleSheetLayoutView="100" workbookViewId="0">
      <selection activeCell="G28" sqref="G28"/>
    </sheetView>
  </sheetViews>
  <sheetFormatPr defaultRowHeight="15" x14ac:dyDescent="0.25"/>
  <cols>
    <col min="1" max="1" width="1.7109375" customWidth="1"/>
    <col min="2" max="2" width="2.28515625" customWidth="1"/>
    <col min="3" max="3" width="36.28515625" customWidth="1"/>
    <col min="4" max="4" width="12" customWidth="1"/>
    <col min="5" max="5" width="17.140625" style="12" customWidth="1"/>
    <col min="6" max="6" width="17" style="12" customWidth="1"/>
    <col min="7" max="7" width="16.42578125" style="12" customWidth="1"/>
    <col min="9" max="9" width="14.28515625" bestFit="1" customWidth="1"/>
  </cols>
  <sheetData>
    <row r="1" spans="1:7" ht="15.75" x14ac:dyDescent="0.25">
      <c r="A1" s="497" t="s">
        <v>198</v>
      </c>
      <c r="B1" s="498"/>
      <c r="C1" s="498"/>
      <c r="D1" s="498"/>
      <c r="E1" s="498"/>
      <c r="F1" s="498"/>
      <c r="G1" s="499"/>
    </row>
    <row r="2" spans="1:7" ht="15.75" x14ac:dyDescent="0.25">
      <c r="A2" s="500" t="s">
        <v>199</v>
      </c>
      <c r="B2" s="501"/>
      <c r="C2" s="501"/>
      <c r="D2" s="501"/>
      <c r="E2" s="501"/>
      <c r="F2" s="501"/>
      <c r="G2" s="502"/>
    </row>
    <row r="3" spans="1:7" ht="15.75" x14ac:dyDescent="0.25">
      <c r="A3" s="500" t="s">
        <v>200</v>
      </c>
      <c r="B3" s="501"/>
      <c r="C3" s="501"/>
      <c r="D3" s="501"/>
      <c r="E3" s="501"/>
      <c r="F3" s="501"/>
      <c r="G3" s="502"/>
    </row>
    <row r="4" spans="1:7" ht="15.75" x14ac:dyDescent="0.25">
      <c r="A4" s="500" t="s">
        <v>0</v>
      </c>
      <c r="B4" s="501"/>
      <c r="C4" s="501"/>
      <c r="D4" s="501"/>
      <c r="E4" s="501"/>
      <c r="F4" s="501"/>
      <c r="G4" s="502"/>
    </row>
    <row r="5" spans="1:7" ht="15.75" x14ac:dyDescent="0.25">
      <c r="A5" s="500" t="s">
        <v>197</v>
      </c>
      <c r="B5" s="501"/>
      <c r="C5" s="501"/>
      <c r="D5" s="501"/>
      <c r="E5" s="501"/>
      <c r="F5" s="501"/>
      <c r="G5" s="502"/>
    </row>
    <row r="6" spans="1:7" ht="9.75" customHeight="1" x14ac:dyDescent="0.25">
      <c r="A6" s="44"/>
      <c r="B6" s="44"/>
      <c r="C6" s="44"/>
      <c r="D6" s="44"/>
      <c r="E6" s="45"/>
      <c r="F6" s="45"/>
      <c r="G6" s="45"/>
    </row>
    <row r="7" spans="1:7" s="13" customFormat="1" ht="33.75" customHeight="1" x14ac:dyDescent="0.25">
      <c r="A7" s="493" t="s">
        <v>1</v>
      </c>
      <c r="B7" s="494"/>
      <c r="C7" s="494"/>
      <c r="D7" s="46" t="s">
        <v>11</v>
      </c>
      <c r="E7" s="37" t="s">
        <v>12</v>
      </c>
      <c r="F7" s="37" t="s">
        <v>13</v>
      </c>
      <c r="G7" s="38" t="s">
        <v>174</v>
      </c>
    </row>
    <row r="8" spans="1:7" s="7" customFormat="1" ht="27.75" customHeight="1" x14ac:dyDescent="0.25">
      <c r="A8" s="495"/>
      <c r="B8" s="496"/>
      <c r="C8" s="496"/>
      <c r="D8" s="39"/>
      <c r="E8" s="40"/>
      <c r="F8" s="40"/>
      <c r="G8" s="41"/>
    </row>
    <row r="9" spans="1:7" s="16" customFormat="1" ht="15.75" x14ac:dyDescent="0.25">
      <c r="A9" s="18"/>
      <c r="B9" s="19" t="s">
        <v>2</v>
      </c>
      <c r="C9" s="19"/>
      <c r="D9" s="19" t="s">
        <v>162</v>
      </c>
      <c r="E9" s="20">
        <v>70304900</v>
      </c>
      <c r="F9" s="20">
        <v>69832400</v>
      </c>
      <c r="G9" s="21">
        <f>E9-F9</f>
        <v>472500</v>
      </c>
    </row>
    <row r="10" spans="1:7" s="16" customFormat="1" ht="15.75" x14ac:dyDescent="0.25">
      <c r="A10" s="22"/>
      <c r="B10" s="23" t="s">
        <v>3</v>
      </c>
      <c r="C10" s="23"/>
      <c r="D10" s="23"/>
      <c r="E10" s="24">
        <f>SUM(E11:E15)</f>
        <v>1965168300</v>
      </c>
      <c r="F10" s="24">
        <f t="shared" ref="F10" si="0">SUM(F11:F15)</f>
        <v>1741177475</v>
      </c>
      <c r="G10" s="21">
        <f t="shared" ref="G10:G16" si="1">E10-F10</f>
        <v>223990825</v>
      </c>
    </row>
    <row r="11" spans="1:7" s="17" customFormat="1" ht="15.75" x14ac:dyDescent="0.25">
      <c r="A11" s="22"/>
      <c r="B11" s="23"/>
      <c r="C11" s="23" t="s">
        <v>4</v>
      </c>
      <c r="D11" s="23" t="s">
        <v>163</v>
      </c>
      <c r="E11" s="24">
        <v>968086000</v>
      </c>
      <c r="F11" s="24">
        <v>968086000</v>
      </c>
      <c r="G11" s="21">
        <f t="shared" si="1"/>
        <v>0</v>
      </c>
    </row>
    <row r="12" spans="1:7" s="17" customFormat="1" ht="31.5" x14ac:dyDescent="0.25">
      <c r="A12" s="22"/>
      <c r="B12" s="23"/>
      <c r="C12" s="36" t="s">
        <v>5</v>
      </c>
      <c r="D12" s="23" t="s">
        <v>164</v>
      </c>
      <c r="E12" s="24">
        <v>34382300</v>
      </c>
      <c r="F12" s="24">
        <v>48582800</v>
      </c>
      <c r="G12" s="21">
        <f t="shared" si="1"/>
        <v>-14200500</v>
      </c>
    </row>
    <row r="13" spans="1:7" s="17" customFormat="1" ht="15.75" x14ac:dyDescent="0.25">
      <c r="A13" s="22"/>
      <c r="B13" s="23"/>
      <c r="C13" s="23" t="s">
        <v>6</v>
      </c>
      <c r="D13" s="23" t="s">
        <v>165</v>
      </c>
      <c r="E13" s="24">
        <v>727200000</v>
      </c>
      <c r="F13" s="24">
        <v>724508675</v>
      </c>
      <c r="G13" s="21">
        <f t="shared" si="1"/>
        <v>2691325</v>
      </c>
    </row>
    <row r="14" spans="1:7" s="17" customFormat="1" ht="15.75" x14ac:dyDescent="0.25">
      <c r="A14" s="22"/>
      <c r="B14" s="23"/>
      <c r="C14" s="23" t="s">
        <v>7</v>
      </c>
      <c r="D14" s="23" t="s">
        <v>166</v>
      </c>
      <c r="E14" s="24">
        <v>0</v>
      </c>
      <c r="F14" s="24"/>
      <c r="G14" s="21">
        <f t="shared" si="1"/>
        <v>0</v>
      </c>
    </row>
    <row r="15" spans="1:7" s="17" customFormat="1" ht="15.75" x14ac:dyDescent="0.25">
      <c r="A15" s="22"/>
      <c r="B15" s="23"/>
      <c r="C15" s="23" t="s">
        <v>8</v>
      </c>
      <c r="D15" s="23" t="s">
        <v>167</v>
      </c>
      <c r="E15" s="24">
        <v>235500000</v>
      </c>
      <c r="F15" s="24"/>
      <c r="G15" s="21">
        <f t="shared" si="1"/>
        <v>235500000</v>
      </c>
    </row>
    <row r="16" spans="1:7" s="16" customFormat="1" ht="15.75" x14ac:dyDescent="0.25">
      <c r="A16" s="22"/>
      <c r="B16" s="23" t="s">
        <v>9</v>
      </c>
      <c r="C16" s="23"/>
      <c r="D16" s="23" t="s">
        <v>168</v>
      </c>
      <c r="E16" s="25">
        <v>30015000</v>
      </c>
      <c r="F16" s="193">
        <v>29846584</v>
      </c>
      <c r="G16" s="26">
        <f t="shared" si="1"/>
        <v>168416</v>
      </c>
    </row>
    <row r="17" spans="1:9" s="7" customFormat="1" ht="15.75" x14ac:dyDescent="0.25">
      <c r="A17" s="489" t="s">
        <v>10</v>
      </c>
      <c r="B17" s="490"/>
      <c r="C17" s="490"/>
      <c r="D17" s="490"/>
      <c r="E17" s="29">
        <f>E9+E10+E16</f>
        <v>2065488200</v>
      </c>
      <c r="F17" s="29">
        <f t="shared" ref="F17:G17" si="2">F9+F10+F16</f>
        <v>1840856459</v>
      </c>
      <c r="G17" s="30">
        <f t="shared" si="2"/>
        <v>224631741</v>
      </c>
    </row>
    <row r="18" spans="1:9" s="16" customFormat="1" ht="15.75" x14ac:dyDescent="0.25">
      <c r="A18" s="22"/>
      <c r="B18" s="23"/>
      <c r="C18" s="23"/>
      <c r="D18" s="23"/>
      <c r="E18" s="20"/>
      <c r="F18" s="20"/>
      <c r="G18" s="21"/>
    </row>
    <row r="19" spans="1:9" s="17" customFormat="1" ht="15.75" x14ac:dyDescent="0.25">
      <c r="A19" s="22"/>
      <c r="B19" s="23"/>
      <c r="C19" s="23"/>
      <c r="D19" s="23"/>
      <c r="E19" s="24"/>
      <c r="F19" s="24"/>
      <c r="G19" s="31"/>
    </row>
    <row r="20" spans="1:9" s="13" customFormat="1" ht="15.75" x14ac:dyDescent="0.25">
      <c r="A20" s="27" t="s">
        <v>14</v>
      </c>
      <c r="B20" s="28"/>
      <c r="C20" s="28"/>
      <c r="D20" s="28"/>
      <c r="E20" s="42"/>
      <c r="F20" s="42"/>
      <c r="G20" s="43"/>
    </row>
    <row r="21" spans="1:9" s="17" customFormat="1" ht="15.75" x14ac:dyDescent="0.25">
      <c r="A21" s="22"/>
      <c r="B21" s="23" t="s">
        <v>15</v>
      </c>
      <c r="C21" s="23"/>
      <c r="D21" s="23" t="s">
        <v>169</v>
      </c>
      <c r="E21" s="24">
        <v>870258856</v>
      </c>
      <c r="F21" s="24">
        <v>856411903</v>
      </c>
      <c r="G21" s="31">
        <f>E21-F21</f>
        <v>13846953</v>
      </c>
      <c r="I21" s="48"/>
    </row>
    <row r="22" spans="1:9" s="17" customFormat="1" ht="15.75" x14ac:dyDescent="0.25">
      <c r="A22" s="22"/>
      <c r="B22" s="32" t="s">
        <v>18</v>
      </c>
      <c r="C22" s="23"/>
      <c r="D22" s="23" t="s">
        <v>170</v>
      </c>
      <c r="E22" s="24">
        <v>901315842</v>
      </c>
      <c r="F22" s="24">
        <v>597314600</v>
      </c>
      <c r="G22" s="31">
        <f>E22-F22</f>
        <v>304001242</v>
      </c>
    </row>
    <row r="23" spans="1:9" s="17" customFormat="1" ht="15.75" x14ac:dyDescent="0.25">
      <c r="A23" s="22"/>
      <c r="B23" s="23" t="s">
        <v>17</v>
      </c>
      <c r="C23" s="23"/>
      <c r="D23" s="23" t="s">
        <v>171</v>
      </c>
      <c r="E23" s="24">
        <v>27045020</v>
      </c>
      <c r="F23" s="24">
        <v>19249250</v>
      </c>
      <c r="G23" s="31">
        <f t="shared" ref="G23:G24" si="3">E23-F23</f>
        <v>7795770</v>
      </c>
    </row>
    <row r="24" spans="1:9" s="17" customFormat="1" ht="15.75" x14ac:dyDescent="0.25">
      <c r="A24" s="22"/>
      <c r="B24" s="23" t="s">
        <v>19</v>
      </c>
      <c r="C24" s="23"/>
      <c r="D24" s="23" t="s">
        <v>172</v>
      </c>
      <c r="E24" s="24">
        <v>35902300</v>
      </c>
      <c r="F24" s="24">
        <v>35767250</v>
      </c>
      <c r="G24" s="31">
        <f t="shared" si="3"/>
        <v>135050</v>
      </c>
    </row>
    <row r="25" spans="1:9" s="17" customFormat="1" ht="29.25" customHeight="1" x14ac:dyDescent="0.25">
      <c r="A25" s="22"/>
      <c r="B25" s="491" t="s">
        <v>16</v>
      </c>
      <c r="C25" s="491"/>
      <c r="D25" s="23" t="s">
        <v>173</v>
      </c>
      <c r="E25" s="25">
        <v>275402500</v>
      </c>
      <c r="F25" s="25">
        <v>255511750</v>
      </c>
      <c r="G25" s="33"/>
    </row>
    <row r="26" spans="1:9" s="7" customFormat="1" ht="15.75" x14ac:dyDescent="0.25">
      <c r="A26" s="489" t="s">
        <v>20</v>
      </c>
      <c r="B26" s="490"/>
      <c r="C26" s="490"/>
      <c r="D26" s="490"/>
      <c r="E26" s="29">
        <f>SUM(E21:E25)</f>
        <v>2109924518</v>
      </c>
      <c r="F26" s="29">
        <f t="shared" ref="F26:G26" si="4">SUM(F21:F25)</f>
        <v>1764254753</v>
      </c>
      <c r="G26" s="30">
        <f t="shared" si="4"/>
        <v>325779015</v>
      </c>
    </row>
    <row r="27" spans="1:9" s="7" customFormat="1" ht="15.75" x14ac:dyDescent="0.25">
      <c r="A27" s="489" t="s">
        <v>21</v>
      </c>
      <c r="B27" s="490"/>
      <c r="C27" s="490"/>
      <c r="D27" s="490"/>
      <c r="E27" s="29">
        <f>E17-E26</f>
        <v>-44436318</v>
      </c>
      <c r="F27" s="29">
        <f>F17-F26</f>
        <v>76601706</v>
      </c>
      <c r="G27" s="30">
        <f>G17-G26</f>
        <v>-101147274</v>
      </c>
    </row>
    <row r="28" spans="1:9" s="17" customFormat="1" ht="15.75" x14ac:dyDescent="0.25">
      <c r="A28" s="22"/>
      <c r="B28" s="23"/>
      <c r="C28" s="23"/>
      <c r="D28" s="23"/>
      <c r="E28" s="20"/>
      <c r="F28" s="20"/>
      <c r="G28" s="21"/>
    </row>
    <row r="29" spans="1:9" s="13" customFormat="1" ht="15.75" x14ac:dyDescent="0.25">
      <c r="A29" s="27" t="s">
        <v>22</v>
      </c>
      <c r="B29" s="28"/>
      <c r="C29" s="28"/>
      <c r="D29" s="28"/>
      <c r="E29" s="42"/>
      <c r="F29" s="42"/>
      <c r="G29" s="43"/>
    </row>
    <row r="30" spans="1:9" s="17" customFormat="1" ht="15.75" x14ac:dyDescent="0.25">
      <c r="A30" s="22"/>
      <c r="B30" s="492" t="s">
        <v>23</v>
      </c>
      <c r="C30" s="492"/>
      <c r="D30" s="23"/>
      <c r="E30" s="24">
        <v>44436318</v>
      </c>
      <c r="F30" s="24">
        <f>E30</f>
        <v>44436318</v>
      </c>
      <c r="G30" s="31">
        <f>E30-F30</f>
        <v>0</v>
      </c>
    </row>
    <row r="31" spans="1:9" s="17" customFormat="1" ht="15.75" x14ac:dyDescent="0.25">
      <c r="A31" s="22"/>
      <c r="B31" s="492" t="s">
        <v>24</v>
      </c>
      <c r="C31" s="492"/>
      <c r="D31" s="23"/>
      <c r="E31" s="25">
        <v>0</v>
      </c>
      <c r="F31" s="25">
        <v>0</v>
      </c>
      <c r="G31" s="33">
        <f>E31-F31</f>
        <v>0</v>
      </c>
    </row>
    <row r="32" spans="1:9" s="7" customFormat="1" ht="15.75" x14ac:dyDescent="0.25">
      <c r="A32" s="489" t="s">
        <v>161</v>
      </c>
      <c r="B32" s="490"/>
      <c r="C32" s="490"/>
      <c r="D32" s="490"/>
      <c r="E32" s="29">
        <f>E30-E31</f>
        <v>44436318</v>
      </c>
      <c r="F32" s="29">
        <f t="shared" ref="F32:G32" si="5">F30-F31</f>
        <v>44436318</v>
      </c>
      <c r="G32" s="30">
        <f t="shared" si="5"/>
        <v>0</v>
      </c>
    </row>
    <row r="33" spans="1:7" s="7" customFormat="1" ht="15.75" x14ac:dyDescent="0.25">
      <c r="A33" s="34" t="s">
        <v>25</v>
      </c>
      <c r="B33" s="35"/>
      <c r="C33" s="35"/>
      <c r="D33" s="35"/>
      <c r="E33" s="29">
        <f>E27+E32</f>
        <v>0</v>
      </c>
      <c r="F33" s="29">
        <f t="shared" ref="F33:G33" si="6">F27+F32</f>
        <v>121038024</v>
      </c>
      <c r="G33" s="30">
        <f t="shared" si="6"/>
        <v>-101147274</v>
      </c>
    </row>
  </sheetData>
  <mergeCells count="13">
    <mergeCell ref="A1:G1"/>
    <mergeCell ref="A2:G2"/>
    <mergeCell ref="A3:G3"/>
    <mergeCell ref="A4:G4"/>
    <mergeCell ref="A5:G5"/>
    <mergeCell ref="A32:D32"/>
    <mergeCell ref="B25:C25"/>
    <mergeCell ref="B30:C30"/>
    <mergeCell ref="B31:C31"/>
    <mergeCell ref="A7:C8"/>
    <mergeCell ref="A17:D17"/>
    <mergeCell ref="A26:D26"/>
    <mergeCell ref="A27:D27"/>
  </mergeCells>
  <pageMargins left="0.7" right="0.7" top="0.75" bottom="0.75" header="0.3" footer="0.3"/>
  <pageSetup paperSize="5" scale="8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0"/>
  <sheetViews>
    <sheetView view="pageBreakPreview" topLeftCell="A280" zoomScale="90" zoomScaleNormal="100" zoomScaleSheetLayoutView="90" workbookViewId="0">
      <selection activeCell="F285" sqref="F285"/>
    </sheetView>
  </sheetViews>
  <sheetFormatPr defaultRowHeight="15" x14ac:dyDescent="0.25"/>
  <cols>
    <col min="1" max="1" width="5.5703125" style="14" customWidth="1"/>
    <col min="2" max="2" width="34" style="172" customWidth="1"/>
    <col min="3" max="3" width="5.7109375" style="14" customWidth="1"/>
    <col min="4" max="4" width="24.85546875" style="79" customWidth="1"/>
    <col min="5" max="5" width="4.140625" style="80" customWidth="1"/>
    <col min="6" max="6" width="26" style="15" customWidth="1"/>
    <col min="7" max="7" width="4.140625" style="80" customWidth="1"/>
    <col min="8" max="8" width="23.5703125" style="15" customWidth="1"/>
    <col min="10" max="10" width="18.7109375" style="10" customWidth="1"/>
    <col min="11" max="11" width="23.7109375" style="10" customWidth="1"/>
    <col min="12" max="12" width="18.140625" customWidth="1"/>
    <col min="13" max="13" width="14.28515625" bestFit="1" customWidth="1"/>
  </cols>
  <sheetData>
    <row r="1" spans="1:8" ht="15.75" x14ac:dyDescent="0.25">
      <c r="A1" s="508" t="s">
        <v>26</v>
      </c>
      <c r="B1" s="508"/>
      <c r="C1" s="508"/>
      <c r="D1" s="508"/>
      <c r="E1" s="508"/>
      <c r="F1" s="508"/>
      <c r="G1" s="508"/>
      <c r="H1" s="508"/>
    </row>
    <row r="2" spans="1:8" ht="15.75" x14ac:dyDescent="0.25">
      <c r="A2" s="508" t="s">
        <v>201</v>
      </c>
      <c r="B2" s="508"/>
      <c r="C2" s="508"/>
      <c r="D2" s="508"/>
      <c r="E2" s="508"/>
      <c r="F2" s="508"/>
      <c r="G2" s="508"/>
      <c r="H2" s="508"/>
    </row>
    <row r="3" spans="1:8" ht="15.75" x14ac:dyDescent="0.25">
      <c r="A3" s="508" t="s">
        <v>202</v>
      </c>
      <c r="B3" s="508"/>
      <c r="C3" s="508"/>
      <c r="D3" s="508"/>
      <c r="E3" s="508"/>
      <c r="F3" s="508"/>
      <c r="G3" s="508"/>
      <c r="H3" s="508"/>
    </row>
    <row r="4" spans="1:8" ht="15.75" x14ac:dyDescent="0.25">
      <c r="A4" s="508" t="s">
        <v>203</v>
      </c>
      <c r="B4" s="508"/>
      <c r="C4" s="508"/>
      <c r="D4" s="508"/>
      <c r="E4" s="508"/>
      <c r="F4" s="508"/>
      <c r="G4" s="508"/>
      <c r="H4" s="508"/>
    </row>
    <row r="5" spans="1:8" ht="15.75" x14ac:dyDescent="0.25">
      <c r="A5" s="59"/>
      <c r="B5" s="60"/>
      <c r="C5" s="59"/>
      <c r="D5" s="61"/>
      <c r="E5" s="62"/>
      <c r="F5" s="63"/>
      <c r="G5" s="62"/>
      <c r="H5" s="63"/>
    </row>
    <row r="6" spans="1:8" ht="15.75" x14ac:dyDescent="0.25">
      <c r="A6" s="59" t="s">
        <v>27</v>
      </c>
      <c r="B6" s="60" t="s">
        <v>28</v>
      </c>
      <c r="C6" s="59"/>
      <c r="D6" s="61"/>
      <c r="E6" s="62"/>
      <c r="F6" s="63"/>
      <c r="G6" s="62"/>
      <c r="H6" s="63"/>
    </row>
    <row r="7" spans="1:8" ht="47.25" customHeight="1" x14ac:dyDescent="0.25">
      <c r="A7" s="59"/>
      <c r="B7" s="506" t="s">
        <v>204</v>
      </c>
      <c r="C7" s="506"/>
      <c r="D7" s="506"/>
      <c r="E7" s="506"/>
      <c r="F7" s="506"/>
      <c r="G7" s="506"/>
      <c r="H7" s="506"/>
    </row>
    <row r="8" spans="1:8" ht="15.75" x14ac:dyDescent="0.25">
      <c r="A8" s="59"/>
      <c r="B8" s="60" t="s">
        <v>207</v>
      </c>
      <c r="C8" s="59"/>
      <c r="D8" s="61"/>
      <c r="E8" s="62"/>
      <c r="F8" s="63"/>
      <c r="G8" s="62"/>
      <c r="H8" s="63"/>
    </row>
    <row r="9" spans="1:8" ht="15.75" x14ac:dyDescent="0.25">
      <c r="A9" s="59"/>
      <c r="B9" s="60" t="s">
        <v>206</v>
      </c>
      <c r="C9" s="59"/>
      <c r="D9" s="61"/>
      <c r="E9" s="62"/>
      <c r="F9" s="63"/>
      <c r="G9" s="62"/>
      <c r="H9" s="63"/>
    </row>
    <row r="10" spans="1:8" ht="15.75" x14ac:dyDescent="0.25">
      <c r="A10" s="59"/>
      <c r="B10" s="60" t="s">
        <v>205</v>
      </c>
      <c r="C10" s="59"/>
      <c r="D10" s="61"/>
      <c r="E10" s="62"/>
      <c r="F10" s="63"/>
      <c r="G10" s="62"/>
      <c r="H10" s="63"/>
    </row>
    <row r="11" spans="1:8" ht="30" customHeight="1" x14ac:dyDescent="0.25">
      <c r="A11" s="59"/>
      <c r="B11" s="506" t="s">
        <v>208</v>
      </c>
      <c r="C11" s="506"/>
      <c r="D11" s="506"/>
      <c r="E11" s="506"/>
      <c r="F11" s="506"/>
      <c r="G11" s="506"/>
      <c r="H11" s="506"/>
    </row>
    <row r="12" spans="1:8" ht="6" customHeight="1" x14ac:dyDescent="0.25">
      <c r="A12" s="59"/>
      <c r="B12" s="60"/>
      <c r="C12" s="59"/>
      <c r="D12" s="61"/>
      <c r="E12" s="62"/>
      <c r="F12" s="63"/>
      <c r="G12" s="62"/>
      <c r="H12" s="63"/>
    </row>
    <row r="13" spans="1:8" ht="15.75" x14ac:dyDescent="0.25">
      <c r="A13" s="59" t="s">
        <v>29</v>
      </c>
      <c r="B13" s="60" t="s">
        <v>30</v>
      </c>
      <c r="C13" s="59"/>
      <c r="D13" s="61"/>
      <c r="E13" s="62"/>
      <c r="F13" s="63"/>
      <c r="G13" s="62"/>
      <c r="H13" s="63"/>
    </row>
    <row r="14" spans="1:8" ht="46.5" customHeight="1" x14ac:dyDescent="0.25">
      <c r="A14" s="59"/>
      <c r="B14" s="506" t="s">
        <v>209</v>
      </c>
      <c r="C14" s="506"/>
      <c r="D14" s="506"/>
      <c r="E14" s="506"/>
      <c r="F14" s="506"/>
      <c r="G14" s="506"/>
      <c r="H14" s="506"/>
    </row>
    <row r="15" spans="1:8" ht="6" customHeight="1" x14ac:dyDescent="0.25">
      <c r="A15" s="59"/>
      <c r="B15" s="60"/>
      <c r="C15" s="59"/>
      <c r="D15" s="61"/>
      <c r="E15" s="62"/>
      <c r="F15" s="63"/>
      <c r="G15" s="62"/>
      <c r="H15" s="63"/>
    </row>
    <row r="16" spans="1:8" ht="15.75" x14ac:dyDescent="0.25">
      <c r="A16" s="59" t="s">
        <v>31</v>
      </c>
      <c r="B16" s="60" t="s">
        <v>32</v>
      </c>
      <c r="C16" s="59"/>
      <c r="D16" s="61"/>
      <c r="E16" s="62"/>
      <c r="F16" s="63"/>
      <c r="G16" s="62"/>
      <c r="H16" s="63"/>
    </row>
    <row r="17" spans="1:8" ht="15.75" x14ac:dyDescent="0.25">
      <c r="A17" s="59"/>
      <c r="B17" s="60" t="s">
        <v>33</v>
      </c>
      <c r="C17" s="59"/>
      <c r="D17" s="61"/>
      <c r="E17" s="62"/>
      <c r="F17" s="63"/>
      <c r="G17" s="62"/>
      <c r="H17" s="63"/>
    </row>
    <row r="18" spans="1:8" ht="22.5" customHeight="1" x14ac:dyDescent="0.25">
      <c r="A18" s="59"/>
      <c r="B18" s="60" t="s">
        <v>210</v>
      </c>
      <c r="C18" s="63"/>
      <c r="D18" s="61"/>
      <c r="E18" s="62"/>
      <c r="F18" s="63"/>
      <c r="G18" s="64" t="s">
        <v>178</v>
      </c>
      <c r="H18" s="65">
        <f>'Laporan Realisasi APBDes'!F33</f>
        <v>121038024</v>
      </c>
    </row>
    <row r="19" spans="1:8" ht="15.75" x14ac:dyDescent="0.25">
      <c r="A19" s="59"/>
      <c r="B19" s="66" t="s">
        <v>34</v>
      </c>
      <c r="C19" s="67"/>
      <c r="D19" s="61"/>
      <c r="E19" s="62"/>
      <c r="F19" s="63"/>
      <c r="G19" s="62"/>
      <c r="H19" s="63"/>
    </row>
    <row r="20" spans="1:8" ht="48.75" customHeight="1" x14ac:dyDescent="0.25">
      <c r="A20" s="59"/>
      <c r="B20" s="68" t="s">
        <v>149</v>
      </c>
      <c r="C20" s="69" t="s">
        <v>178</v>
      </c>
      <c r="D20" s="70">
        <v>0</v>
      </c>
      <c r="E20" s="62"/>
      <c r="F20" s="63"/>
      <c r="G20" s="62"/>
      <c r="H20" s="63"/>
    </row>
    <row r="21" spans="1:8" ht="47.25" x14ac:dyDescent="0.25">
      <c r="A21" s="59"/>
      <c r="B21" s="68" t="s">
        <v>150</v>
      </c>
      <c r="C21" s="69" t="s">
        <v>178</v>
      </c>
      <c r="D21" s="70">
        <v>62547668</v>
      </c>
      <c r="E21" s="62"/>
      <c r="F21" s="63"/>
      <c r="G21" s="62"/>
      <c r="H21" s="63"/>
    </row>
    <row r="22" spans="1:8" ht="47.25" x14ac:dyDescent="0.25">
      <c r="A22" s="59"/>
      <c r="B22" s="68" t="s">
        <v>151</v>
      </c>
      <c r="C22" s="69" t="s">
        <v>178</v>
      </c>
      <c r="D22" s="71">
        <f>D21</f>
        <v>62547668</v>
      </c>
      <c r="E22" s="72"/>
      <c r="F22" s="73"/>
      <c r="G22" s="74"/>
      <c r="H22" s="75"/>
    </row>
    <row r="23" spans="1:8" ht="32.25" customHeight="1" x14ac:dyDescent="0.25">
      <c r="A23" s="59"/>
      <c r="B23" s="76" t="s">
        <v>139</v>
      </c>
      <c r="C23" s="77"/>
      <c r="D23" s="61"/>
      <c r="E23" s="62"/>
      <c r="F23" s="63"/>
      <c r="G23" s="64" t="s">
        <v>178</v>
      </c>
      <c r="H23" s="78">
        <v>0</v>
      </c>
    </row>
    <row r="24" spans="1:8" ht="6" customHeight="1" x14ac:dyDescent="0.25">
      <c r="A24" s="59"/>
      <c r="B24" s="60"/>
      <c r="C24" s="63"/>
      <c r="D24" s="61"/>
      <c r="E24" s="62"/>
      <c r="F24" s="63"/>
      <c r="G24" s="62"/>
      <c r="H24" s="63"/>
    </row>
    <row r="25" spans="1:8" ht="26.25" customHeight="1" x14ac:dyDescent="0.25">
      <c r="A25" s="59"/>
      <c r="B25" s="60" t="s">
        <v>211</v>
      </c>
      <c r="C25" s="63"/>
      <c r="D25" s="61"/>
      <c r="E25" s="62"/>
      <c r="F25" s="63"/>
      <c r="G25" s="64" t="s">
        <v>178</v>
      </c>
      <c r="H25" s="63">
        <f>H18+H23</f>
        <v>121038024</v>
      </c>
    </row>
    <row r="26" spans="1:8" ht="8.25" customHeight="1" x14ac:dyDescent="0.25">
      <c r="A26" s="59"/>
      <c r="B26" s="60"/>
      <c r="C26" s="63"/>
      <c r="D26" s="61"/>
      <c r="E26" s="62"/>
      <c r="F26" s="63"/>
      <c r="G26" s="62"/>
      <c r="H26" s="63"/>
    </row>
    <row r="27" spans="1:8" ht="24" customHeight="1" x14ac:dyDescent="0.25">
      <c r="A27" s="59" t="s">
        <v>36</v>
      </c>
      <c r="B27" s="66" t="s">
        <v>2</v>
      </c>
      <c r="C27" s="67"/>
      <c r="D27" s="61"/>
      <c r="E27" s="62"/>
      <c r="F27" s="63"/>
      <c r="G27" s="62"/>
      <c r="H27" s="63"/>
    </row>
    <row r="28" spans="1:8" ht="15.75" x14ac:dyDescent="0.25">
      <c r="A28" s="59"/>
      <c r="B28" s="60" t="s">
        <v>35</v>
      </c>
      <c r="C28" s="63"/>
    </row>
    <row r="29" spans="1:8" ht="15.75" x14ac:dyDescent="0.25">
      <c r="A29" s="59"/>
      <c r="B29" s="60"/>
      <c r="C29" s="63"/>
      <c r="D29" s="81" t="s">
        <v>12</v>
      </c>
      <c r="E29" s="82"/>
      <c r="F29" s="82" t="s">
        <v>13</v>
      </c>
      <c r="G29" s="82"/>
      <c r="H29" s="82" t="s">
        <v>140</v>
      </c>
    </row>
    <row r="30" spans="1:8" ht="25.5" customHeight="1" x14ac:dyDescent="0.25">
      <c r="A30" s="59"/>
      <c r="B30" s="60" t="s">
        <v>181</v>
      </c>
      <c r="C30" s="69" t="s">
        <v>178</v>
      </c>
      <c r="D30" s="61">
        <v>2500000</v>
      </c>
      <c r="E30" s="64" t="s">
        <v>178</v>
      </c>
      <c r="F30" s="67">
        <v>2027500</v>
      </c>
      <c r="G30" s="64" t="s">
        <v>178</v>
      </c>
      <c r="H30" s="83">
        <f>D30-F30</f>
        <v>472500</v>
      </c>
    </row>
    <row r="31" spans="1:8" ht="27" customHeight="1" x14ac:dyDescent="0.25">
      <c r="A31" s="59"/>
      <c r="B31" s="60" t="s">
        <v>37</v>
      </c>
      <c r="C31" s="69" t="s">
        <v>178</v>
      </c>
      <c r="D31" s="84">
        <v>0</v>
      </c>
      <c r="E31" s="85" t="s">
        <v>178</v>
      </c>
      <c r="F31" s="86">
        <v>0</v>
      </c>
      <c r="G31" s="85" t="s">
        <v>178</v>
      </c>
      <c r="H31" s="87">
        <f t="shared" ref="H31:H34" si="0">D31-F31</f>
        <v>0</v>
      </c>
    </row>
    <row r="32" spans="1:8" ht="35.25" customHeight="1" x14ac:dyDescent="0.25">
      <c r="A32" s="59"/>
      <c r="B32" s="76" t="s">
        <v>38</v>
      </c>
      <c r="C32" s="69" t="s">
        <v>178</v>
      </c>
      <c r="D32" s="84">
        <v>0</v>
      </c>
      <c r="E32" s="85" t="s">
        <v>178</v>
      </c>
      <c r="F32" s="86">
        <v>0</v>
      </c>
      <c r="G32" s="85" t="s">
        <v>178</v>
      </c>
      <c r="H32" s="87">
        <f t="shared" si="0"/>
        <v>0</v>
      </c>
    </row>
    <row r="33" spans="1:11" ht="29.25" customHeight="1" x14ac:dyDescent="0.25">
      <c r="A33" s="59"/>
      <c r="B33" s="60" t="s">
        <v>39</v>
      </c>
      <c r="C33" s="69" t="s">
        <v>178</v>
      </c>
      <c r="D33" s="88">
        <v>67804900</v>
      </c>
      <c r="E33" s="64" t="s">
        <v>178</v>
      </c>
      <c r="F33" s="89">
        <v>67804900</v>
      </c>
      <c r="G33" s="64" t="s">
        <v>178</v>
      </c>
      <c r="H33" s="89">
        <f t="shared" si="0"/>
        <v>0</v>
      </c>
    </row>
    <row r="34" spans="1:11" s="6" customFormat="1" ht="32.25" customHeight="1" x14ac:dyDescent="0.25">
      <c r="A34" s="90"/>
      <c r="B34" s="91"/>
      <c r="C34" s="69" t="s">
        <v>178</v>
      </c>
      <c r="D34" s="92">
        <f>SUM(D30:D33)</f>
        <v>70304900</v>
      </c>
      <c r="E34" s="64" t="s">
        <v>178</v>
      </c>
      <c r="F34" s="93">
        <f>SUM(F30:F33)</f>
        <v>69832400</v>
      </c>
      <c r="G34" s="64" t="s">
        <v>178</v>
      </c>
      <c r="H34" s="93">
        <f t="shared" si="0"/>
        <v>472500</v>
      </c>
      <c r="J34" s="49"/>
      <c r="K34" s="49"/>
    </row>
    <row r="35" spans="1:11" s="6" customFormat="1" ht="15.75" x14ac:dyDescent="0.25">
      <c r="A35" s="90"/>
      <c r="B35" s="94" t="s">
        <v>180</v>
      </c>
      <c r="C35" s="69"/>
      <c r="D35" s="95"/>
      <c r="E35" s="64"/>
      <c r="F35" s="96"/>
      <c r="G35" s="64"/>
      <c r="H35" s="96"/>
      <c r="J35" s="49"/>
      <c r="K35" s="49"/>
    </row>
    <row r="36" spans="1:11" s="6" customFormat="1" ht="15.75" x14ac:dyDescent="0.25">
      <c r="A36" s="90"/>
      <c r="B36" s="510" t="s">
        <v>183</v>
      </c>
      <c r="C36" s="510"/>
      <c r="D36" s="510"/>
      <c r="E36" s="510"/>
      <c r="F36" s="510"/>
      <c r="G36" s="510"/>
      <c r="H36" s="510"/>
      <c r="J36" s="49"/>
      <c r="K36" s="49"/>
    </row>
    <row r="37" spans="1:11" s="6" customFormat="1" ht="31.5" customHeight="1" x14ac:dyDescent="0.25">
      <c r="A37" s="90"/>
      <c r="B37" s="505" t="s">
        <v>212</v>
      </c>
      <c r="C37" s="505"/>
      <c r="D37" s="505"/>
      <c r="E37" s="505"/>
      <c r="F37" s="505"/>
      <c r="G37" s="505"/>
      <c r="H37" s="505"/>
      <c r="J37" s="49"/>
      <c r="K37" s="49"/>
    </row>
    <row r="38" spans="1:11" ht="5.25" customHeight="1" x14ac:dyDescent="0.25">
      <c r="A38" s="59"/>
      <c r="B38" s="60"/>
      <c r="C38" s="63"/>
      <c r="D38" s="61"/>
      <c r="E38" s="62"/>
      <c r="F38" s="63"/>
      <c r="G38" s="62"/>
      <c r="H38" s="63"/>
    </row>
    <row r="39" spans="1:11" ht="15.75" x14ac:dyDescent="0.25">
      <c r="A39" s="59" t="s">
        <v>40</v>
      </c>
      <c r="B39" s="60" t="s">
        <v>4</v>
      </c>
      <c r="C39" s="63"/>
      <c r="D39" s="61"/>
      <c r="E39" s="62"/>
      <c r="F39" s="63"/>
      <c r="G39" s="62"/>
      <c r="H39" s="63"/>
    </row>
    <row r="40" spans="1:11" ht="29.25" customHeight="1" x14ac:dyDescent="0.25">
      <c r="A40" s="59"/>
      <c r="B40" s="504" t="s">
        <v>213</v>
      </c>
      <c r="C40" s="504"/>
      <c r="D40" s="504"/>
      <c r="E40" s="504"/>
      <c r="F40" s="504"/>
      <c r="G40" s="504"/>
      <c r="H40" s="504"/>
    </row>
    <row r="41" spans="1:11" ht="14.25" customHeight="1" x14ac:dyDescent="0.25">
      <c r="A41" s="59"/>
      <c r="B41" s="60"/>
      <c r="C41" s="63"/>
      <c r="D41" s="81" t="s">
        <v>12</v>
      </c>
      <c r="E41" s="82"/>
      <c r="F41" s="82" t="s">
        <v>13</v>
      </c>
      <c r="G41" s="82"/>
      <c r="H41" s="82" t="s">
        <v>140</v>
      </c>
    </row>
    <row r="42" spans="1:11" ht="25.5" customHeight="1" x14ac:dyDescent="0.25">
      <c r="A42" s="59"/>
      <c r="B42" s="60" t="s">
        <v>41</v>
      </c>
      <c r="C42" s="69" t="s">
        <v>178</v>
      </c>
      <c r="D42" s="61">
        <v>391557200</v>
      </c>
      <c r="E42" s="64" t="s">
        <v>178</v>
      </c>
      <c r="F42" s="63">
        <f>D42</f>
        <v>391557200</v>
      </c>
      <c r="G42" s="64" t="s">
        <v>178</v>
      </c>
      <c r="H42" s="63">
        <f>D42-F42</f>
        <v>0</v>
      </c>
    </row>
    <row r="43" spans="1:11" ht="26.25" customHeight="1" x14ac:dyDescent="0.25">
      <c r="A43" s="59"/>
      <c r="B43" s="60" t="s">
        <v>42</v>
      </c>
      <c r="C43" s="69" t="s">
        <v>178</v>
      </c>
      <c r="D43" s="61">
        <f>50000000+50000000+45212900</f>
        <v>145212900</v>
      </c>
      <c r="E43" s="64" t="s">
        <v>178</v>
      </c>
      <c r="F43" s="63">
        <f t="shared" ref="F43:F45" si="1">D43</f>
        <v>145212900</v>
      </c>
      <c r="G43" s="64" t="s">
        <v>178</v>
      </c>
      <c r="H43" s="63">
        <f t="shared" ref="H43:H45" si="2">D43-F43</f>
        <v>0</v>
      </c>
    </row>
    <row r="44" spans="1:11" ht="25.5" customHeight="1" x14ac:dyDescent="0.25">
      <c r="A44" s="59"/>
      <c r="B44" s="60" t="s">
        <v>43</v>
      </c>
      <c r="C44" s="191" t="s">
        <v>178</v>
      </c>
      <c r="D44" s="88">
        <v>145212900</v>
      </c>
      <c r="E44" s="64" t="s">
        <v>178</v>
      </c>
      <c r="F44" s="63">
        <f t="shared" ref="F44" si="3">D44</f>
        <v>145212900</v>
      </c>
      <c r="G44" s="64" t="s">
        <v>178</v>
      </c>
      <c r="H44" s="89">
        <f t="shared" ref="H44" si="4">D44-F44</f>
        <v>0</v>
      </c>
    </row>
    <row r="45" spans="1:11" ht="25.5" customHeight="1" x14ac:dyDescent="0.25">
      <c r="A45" s="59"/>
      <c r="B45" s="60" t="s">
        <v>48</v>
      </c>
      <c r="C45" s="191" t="s">
        <v>178</v>
      </c>
      <c r="D45" s="88">
        <v>96808600</v>
      </c>
      <c r="E45" s="64" t="s">
        <v>178</v>
      </c>
      <c r="F45" s="63">
        <f t="shared" si="1"/>
        <v>96808600</v>
      </c>
      <c r="G45" s="64" t="s">
        <v>178</v>
      </c>
      <c r="H45" s="89">
        <f t="shared" si="2"/>
        <v>0</v>
      </c>
    </row>
    <row r="46" spans="1:11" ht="25.5" customHeight="1" x14ac:dyDescent="0.25">
      <c r="A46" s="59"/>
      <c r="B46" s="60" t="s">
        <v>49</v>
      </c>
      <c r="C46" s="191" t="s">
        <v>178</v>
      </c>
      <c r="D46" s="88">
        <v>189294400</v>
      </c>
      <c r="E46" s="64" t="s">
        <v>178</v>
      </c>
      <c r="F46" s="63">
        <f t="shared" ref="F46" si="5">D46</f>
        <v>189294400</v>
      </c>
      <c r="G46" s="64" t="s">
        <v>178</v>
      </c>
      <c r="H46" s="89">
        <f t="shared" ref="H46" si="6">D46-F46</f>
        <v>0</v>
      </c>
    </row>
    <row r="47" spans="1:11" s="7" customFormat="1" ht="25.5" customHeight="1" x14ac:dyDescent="0.25">
      <c r="A47" s="97"/>
      <c r="B47" s="91"/>
      <c r="C47" s="69" t="s">
        <v>178</v>
      </c>
      <c r="D47" s="98">
        <f>SUM(D42:D46)</f>
        <v>968086000</v>
      </c>
      <c r="E47" s="64" t="s">
        <v>178</v>
      </c>
      <c r="F47" s="99">
        <f>SUM(F42:F46)</f>
        <v>968086000</v>
      </c>
      <c r="G47" s="64" t="s">
        <v>178</v>
      </c>
      <c r="H47" s="99">
        <f>SUM(H42:H46)</f>
        <v>0</v>
      </c>
      <c r="J47" s="50"/>
      <c r="K47" s="50"/>
    </row>
    <row r="48" spans="1:11" s="7" customFormat="1" ht="6" customHeight="1" x14ac:dyDescent="0.25">
      <c r="A48" s="97"/>
      <c r="B48" s="91"/>
      <c r="C48" s="100"/>
      <c r="D48" s="101"/>
      <c r="E48" s="100"/>
      <c r="F48" s="102"/>
      <c r="G48" s="100"/>
      <c r="H48" s="102"/>
      <c r="J48" s="50"/>
      <c r="K48" s="50"/>
    </row>
    <row r="49" spans="1:11" ht="15.75" x14ac:dyDescent="0.25">
      <c r="A49" s="59" t="s">
        <v>44</v>
      </c>
      <c r="B49" s="60" t="s">
        <v>214</v>
      </c>
      <c r="C49" s="63"/>
      <c r="D49" s="61"/>
      <c r="E49" s="62"/>
      <c r="F49" s="63"/>
      <c r="G49" s="62"/>
      <c r="H49" s="63"/>
    </row>
    <row r="50" spans="1:11" ht="15.75" x14ac:dyDescent="0.25">
      <c r="A50" s="59"/>
      <c r="B50" s="94" t="s">
        <v>175</v>
      </c>
      <c r="C50" s="103"/>
      <c r="D50" s="61"/>
      <c r="E50" s="62"/>
      <c r="F50" s="63"/>
      <c r="G50" s="62"/>
      <c r="H50" s="63"/>
    </row>
    <row r="51" spans="1:11" ht="15.75" x14ac:dyDescent="0.25">
      <c r="A51" s="59"/>
      <c r="B51" s="60"/>
      <c r="C51" s="63"/>
      <c r="D51" s="81" t="s">
        <v>12</v>
      </c>
      <c r="E51" s="82"/>
      <c r="F51" s="82" t="s">
        <v>13</v>
      </c>
      <c r="G51" s="82"/>
      <c r="H51" s="82" t="s">
        <v>140</v>
      </c>
    </row>
    <row r="52" spans="1:11" ht="27" customHeight="1" x14ac:dyDescent="0.25">
      <c r="A52" s="59"/>
      <c r="B52" s="60" t="s">
        <v>41</v>
      </c>
      <c r="C52" s="69" t="s">
        <v>178</v>
      </c>
      <c r="D52" s="61">
        <v>17191150</v>
      </c>
      <c r="E52" s="69" t="s">
        <v>178</v>
      </c>
      <c r="F52" s="63">
        <f>17655050+3897150</f>
        <v>21552200</v>
      </c>
      <c r="G52" s="69" t="s">
        <v>178</v>
      </c>
      <c r="H52" s="104">
        <f>D52-F52</f>
        <v>-4361050</v>
      </c>
    </row>
    <row r="53" spans="1:11" ht="27.75" customHeight="1" x14ac:dyDescent="0.25">
      <c r="A53" s="59"/>
      <c r="B53" s="60" t="s">
        <v>42</v>
      </c>
      <c r="C53" s="69" t="s">
        <v>178</v>
      </c>
      <c r="D53" s="156">
        <v>17191150</v>
      </c>
      <c r="E53" s="69" t="s">
        <v>178</v>
      </c>
      <c r="F53" s="75">
        <v>20795100</v>
      </c>
      <c r="G53" s="69" t="s">
        <v>178</v>
      </c>
      <c r="H53" s="78">
        <f>D53-F53</f>
        <v>-3603950</v>
      </c>
    </row>
    <row r="54" spans="1:11" s="7" customFormat="1" ht="30.75" customHeight="1" x14ac:dyDescent="0.25">
      <c r="A54" s="97"/>
      <c r="B54" s="91"/>
      <c r="C54" s="69" t="s">
        <v>178</v>
      </c>
      <c r="D54" s="393">
        <f>SUM(D52:D53)</f>
        <v>34382300</v>
      </c>
      <c r="E54" s="69" t="s">
        <v>178</v>
      </c>
      <c r="F54" s="394">
        <f>SUM(F52:F53)</f>
        <v>42347300</v>
      </c>
      <c r="G54" s="69" t="s">
        <v>178</v>
      </c>
      <c r="H54" s="105">
        <f>SUM(H52:H53)</f>
        <v>-7965000</v>
      </c>
      <c r="J54" s="50"/>
      <c r="K54" s="50"/>
    </row>
    <row r="55" spans="1:11" s="7" customFormat="1" ht="15.75" x14ac:dyDescent="0.25">
      <c r="A55" s="97"/>
      <c r="B55" s="91"/>
      <c r="C55" s="100"/>
      <c r="D55" s="106"/>
      <c r="E55" s="96"/>
      <c r="F55" s="107"/>
      <c r="G55" s="96"/>
      <c r="H55" s="107"/>
      <c r="J55" s="50"/>
      <c r="K55" s="50"/>
    </row>
    <row r="56" spans="1:11" s="7" customFormat="1" ht="15.75" x14ac:dyDescent="0.25">
      <c r="A56" s="97"/>
      <c r="B56" s="91"/>
      <c r="C56" s="100"/>
      <c r="D56" s="106"/>
      <c r="E56" s="96"/>
      <c r="F56" s="107"/>
      <c r="G56" s="96"/>
      <c r="H56" s="107"/>
      <c r="J56" s="50"/>
      <c r="K56" s="50"/>
    </row>
    <row r="57" spans="1:11" s="7" customFormat="1" ht="15.75" x14ac:dyDescent="0.25">
      <c r="A57" s="97"/>
      <c r="B57" s="91"/>
      <c r="C57" s="100"/>
      <c r="D57" s="106"/>
      <c r="E57" s="96"/>
      <c r="F57" s="107"/>
      <c r="G57" s="96"/>
      <c r="H57" s="107"/>
      <c r="J57" s="50"/>
      <c r="K57" s="50"/>
    </row>
    <row r="58" spans="1:11" s="7" customFormat="1" ht="15.75" x14ac:dyDescent="0.25">
      <c r="A58" s="97"/>
      <c r="B58" s="91"/>
      <c r="C58" s="100"/>
      <c r="D58" s="106"/>
      <c r="E58" s="96"/>
      <c r="F58" s="107"/>
      <c r="G58" s="96"/>
      <c r="H58" s="107"/>
      <c r="J58" s="50"/>
      <c r="K58" s="50"/>
    </row>
    <row r="59" spans="1:11" s="7" customFormat="1" ht="15.75" x14ac:dyDescent="0.25">
      <c r="A59" s="97"/>
      <c r="B59" s="91"/>
      <c r="C59" s="100"/>
      <c r="D59" s="106"/>
      <c r="E59" s="96"/>
      <c r="F59" s="107"/>
      <c r="G59" s="96"/>
      <c r="H59" s="107"/>
      <c r="J59" s="50"/>
      <c r="K59" s="50"/>
    </row>
    <row r="60" spans="1:11" s="7" customFormat="1" ht="15.75" x14ac:dyDescent="0.25">
      <c r="A60" s="97"/>
      <c r="B60" s="91"/>
      <c r="C60" s="100"/>
      <c r="D60" s="106"/>
      <c r="E60" s="96"/>
      <c r="F60" s="107"/>
      <c r="G60" s="96"/>
      <c r="H60" s="107"/>
      <c r="J60" s="50"/>
      <c r="K60" s="50"/>
    </row>
    <row r="61" spans="1:11" s="7" customFormat="1" ht="15.75" x14ac:dyDescent="0.25">
      <c r="A61" s="97"/>
      <c r="B61" s="91"/>
      <c r="C61" s="100"/>
      <c r="D61" s="106"/>
      <c r="E61" s="96"/>
      <c r="F61" s="107"/>
      <c r="G61" s="96"/>
      <c r="H61" s="107"/>
      <c r="J61" s="50"/>
      <c r="K61" s="50"/>
    </row>
    <row r="62" spans="1:11" ht="15.75" x14ac:dyDescent="0.25">
      <c r="A62" s="59"/>
      <c r="B62" s="60" t="s">
        <v>45</v>
      </c>
      <c r="C62" s="63"/>
      <c r="D62" s="61"/>
      <c r="E62" s="62"/>
      <c r="F62" s="63"/>
      <c r="G62" s="62"/>
      <c r="H62" s="63"/>
    </row>
    <row r="63" spans="1:11" ht="15.75" x14ac:dyDescent="0.25">
      <c r="A63" s="59"/>
      <c r="B63" s="60"/>
      <c r="C63" s="63"/>
      <c r="D63" s="81" t="s">
        <v>12</v>
      </c>
      <c r="E63" s="82"/>
      <c r="F63" s="82" t="s">
        <v>13</v>
      </c>
      <c r="G63" s="82"/>
      <c r="H63" s="82" t="s">
        <v>140</v>
      </c>
    </row>
    <row r="64" spans="1:11" ht="27.75" customHeight="1" x14ac:dyDescent="0.25">
      <c r="A64" s="59"/>
      <c r="B64" s="60" t="s">
        <v>41</v>
      </c>
      <c r="C64" s="69" t="s">
        <v>178</v>
      </c>
      <c r="D64" s="108">
        <v>0</v>
      </c>
      <c r="E64" s="64" t="s">
        <v>178</v>
      </c>
      <c r="F64" s="109">
        <v>6235500</v>
      </c>
      <c r="G64" s="64" t="s">
        <v>178</v>
      </c>
      <c r="H64" s="110">
        <f>D64-F64</f>
        <v>-6235500</v>
      </c>
    </row>
    <row r="65" spans="1:11" s="7" customFormat="1" ht="26.25" customHeight="1" x14ac:dyDescent="0.25">
      <c r="A65" s="97"/>
      <c r="B65" s="91"/>
      <c r="C65" s="69" t="s">
        <v>178</v>
      </c>
      <c r="D65" s="98">
        <f>SUM(D64)</f>
        <v>0</v>
      </c>
      <c r="E65" s="64" t="s">
        <v>178</v>
      </c>
      <c r="F65" s="99">
        <f t="shared" ref="F65:H65" si="7">SUM(F64)</f>
        <v>6235500</v>
      </c>
      <c r="G65" s="64" t="s">
        <v>178</v>
      </c>
      <c r="H65" s="105">
        <f t="shared" si="7"/>
        <v>-6235500</v>
      </c>
      <c r="J65" s="50"/>
      <c r="K65" s="50"/>
    </row>
    <row r="66" spans="1:11" ht="8.25" customHeight="1" x14ac:dyDescent="0.25">
      <c r="A66" s="59"/>
      <c r="B66" s="60"/>
      <c r="C66" s="63"/>
      <c r="D66" s="61"/>
      <c r="E66" s="62"/>
      <c r="F66" s="63"/>
      <c r="G66" s="62"/>
      <c r="H66" s="63"/>
    </row>
    <row r="67" spans="1:11" s="11" customFormat="1" ht="30" customHeight="1" x14ac:dyDescent="0.25">
      <c r="A67" s="58"/>
      <c r="B67" s="509" t="s">
        <v>176</v>
      </c>
      <c r="C67" s="509"/>
      <c r="D67" s="509"/>
      <c r="E67" s="509"/>
      <c r="F67" s="509"/>
      <c r="G67" s="509"/>
      <c r="H67" s="509"/>
      <c r="J67" s="51"/>
      <c r="K67" s="51"/>
    </row>
    <row r="68" spans="1:11" ht="15.75" x14ac:dyDescent="0.25">
      <c r="A68" s="59"/>
      <c r="B68" s="60"/>
      <c r="C68" s="63"/>
      <c r="D68" s="81" t="s">
        <v>12</v>
      </c>
      <c r="E68" s="82"/>
      <c r="F68" s="82" t="s">
        <v>13</v>
      </c>
      <c r="G68" s="82"/>
      <c r="H68" s="82" t="s">
        <v>140</v>
      </c>
    </row>
    <row r="69" spans="1:11" ht="26.25" customHeight="1" x14ac:dyDescent="0.25">
      <c r="A69" s="59"/>
      <c r="B69" s="60" t="s">
        <v>41</v>
      </c>
      <c r="C69" s="69" t="s">
        <v>178</v>
      </c>
      <c r="D69" s="111">
        <v>0</v>
      </c>
      <c r="E69" s="64" t="s">
        <v>178</v>
      </c>
      <c r="F69" s="104">
        <v>0</v>
      </c>
      <c r="G69" s="64" t="s">
        <v>178</v>
      </c>
      <c r="H69" s="104">
        <v>0</v>
      </c>
    </row>
    <row r="70" spans="1:11" s="7" customFormat="1" ht="26.25" customHeight="1" x14ac:dyDescent="0.25">
      <c r="A70" s="97"/>
      <c r="B70" s="91"/>
      <c r="C70" s="69" t="s">
        <v>178</v>
      </c>
      <c r="D70" s="112">
        <f>SUM(D69:D69)</f>
        <v>0</v>
      </c>
      <c r="E70" s="64" t="s">
        <v>178</v>
      </c>
      <c r="F70" s="105">
        <f>SUM(F69:F69)</f>
        <v>0</v>
      </c>
      <c r="G70" s="64" t="s">
        <v>178</v>
      </c>
      <c r="H70" s="105">
        <f>SUM(H69:H69)</f>
        <v>0</v>
      </c>
      <c r="J70" s="50"/>
      <c r="K70" s="50"/>
    </row>
    <row r="71" spans="1:11" ht="24.75" customHeight="1" x14ac:dyDescent="0.25">
      <c r="A71" s="59"/>
      <c r="B71" s="60" t="s">
        <v>215</v>
      </c>
      <c r="C71" s="63"/>
      <c r="D71" s="61"/>
      <c r="E71" s="62"/>
      <c r="F71" s="63"/>
      <c r="G71" s="62"/>
      <c r="H71" s="63"/>
    </row>
    <row r="72" spans="1:11" ht="19.5" customHeight="1" x14ac:dyDescent="0.25">
      <c r="A72" s="59" t="s">
        <v>46</v>
      </c>
      <c r="B72" s="60" t="s">
        <v>47</v>
      </c>
      <c r="C72" s="63"/>
      <c r="D72" s="61"/>
      <c r="E72" s="62"/>
      <c r="F72" s="63"/>
      <c r="G72" s="62"/>
      <c r="H72" s="63"/>
    </row>
    <row r="73" spans="1:11" ht="15.75" x14ac:dyDescent="0.25">
      <c r="A73" s="59"/>
      <c r="B73" s="60" t="s">
        <v>186</v>
      </c>
      <c r="C73" s="63"/>
      <c r="D73" s="61"/>
      <c r="E73" s="62"/>
      <c r="F73" s="63"/>
      <c r="G73" s="62"/>
      <c r="H73" s="63"/>
    </row>
    <row r="74" spans="1:11" ht="15.75" x14ac:dyDescent="0.25">
      <c r="A74" s="59"/>
      <c r="B74" s="60"/>
      <c r="C74" s="63"/>
      <c r="D74" s="81" t="s">
        <v>12</v>
      </c>
      <c r="E74" s="82"/>
      <c r="F74" s="82" t="s">
        <v>13</v>
      </c>
      <c r="G74" s="82"/>
      <c r="H74" s="82" t="s">
        <v>140</v>
      </c>
    </row>
    <row r="75" spans="1:11" ht="27" customHeight="1" x14ac:dyDescent="0.25">
      <c r="A75" s="59"/>
      <c r="B75" s="60" t="s">
        <v>41</v>
      </c>
      <c r="C75" s="69" t="s">
        <v>178</v>
      </c>
      <c r="D75" s="61">
        <v>60600000</v>
      </c>
      <c r="E75" s="64" t="s">
        <v>178</v>
      </c>
      <c r="F75" s="61">
        <v>66450000</v>
      </c>
      <c r="G75" s="64" t="s">
        <v>178</v>
      </c>
      <c r="H75" s="104">
        <f>D75-F75</f>
        <v>-5850000</v>
      </c>
    </row>
    <row r="76" spans="1:11" ht="27.75" customHeight="1" x14ac:dyDescent="0.25">
      <c r="A76" s="59"/>
      <c r="B76" s="60" t="s">
        <v>42</v>
      </c>
      <c r="C76" s="69" t="s">
        <v>178</v>
      </c>
      <c r="D76" s="61">
        <v>60600000</v>
      </c>
      <c r="E76" s="64" t="s">
        <v>178</v>
      </c>
      <c r="F76" s="61">
        <v>66450000</v>
      </c>
      <c r="G76" s="64" t="s">
        <v>178</v>
      </c>
      <c r="H76" s="104">
        <f t="shared" ref="H76:H86" si="8">D76-F76</f>
        <v>-5850000</v>
      </c>
    </row>
    <row r="77" spans="1:11" ht="26.25" customHeight="1" x14ac:dyDescent="0.25">
      <c r="A77" s="59"/>
      <c r="B77" s="60" t="s">
        <v>43</v>
      </c>
      <c r="C77" s="69" t="s">
        <v>178</v>
      </c>
      <c r="D77" s="61">
        <v>60600000</v>
      </c>
      <c r="E77" s="64" t="s">
        <v>178</v>
      </c>
      <c r="F77" s="61">
        <v>66450000</v>
      </c>
      <c r="G77" s="64" t="s">
        <v>178</v>
      </c>
      <c r="H77" s="104">
        <f t="shared" si="8"/>
        <v>-5850000</v>
      </c>
    </row>
    <row r="78" spans="1:11" ht="26.25" customHeight="1" x14ac:dyDescent="0.25">
      <c r="A78" s="59"/>
      <c r="B78" s="60" t="s">
        <v>48</v>
      </c>
      <c r="C78" s="69" t="s">
        <v>178</v>
      </c>
      <c r="D78" s="61">
        <v>60600000</v>
      </c>
      <c r="E78" s="64" t="s">
        <v>178</v>
      </c>
      <c r="F78" s="61">
        <v>66450000</v>
      </c>
      <c r="G78" s="64" t="s">
        <v>178</v>
      </c>
      <c r="H78" s="104">
        <f t="shared" si="8"/>
        <v>-5850000</v>
      </c>
    </row>
    <row r="79" spans="1:11" ht="25.5" customHeight="1" x14ac:dyDescent="0.25">
      <c r="A79" s="59"/>
      <c r="B79" s="60" t="s">
        <v>49</v>
      </c>
      <c r="C79" s="69" t="s">
        <v>178</v>
      </c>
      <c r="D79" s="61">
        <v>60600000</v>
      </c>
      <c r="E79" s="64" t="s">
        <v>178</v>
      </c>
      <c r="F79" s="61">
        <v>66450000</v>
      </c>
      <c r="G79" s="64" t="s">
        <v>178</v>
      </c>
      <c r="H79" s="104">
        <f t="shared" si="8"/>
        <v>-5850000</v>
      </c>
    </row>
    <row r="80" spans="1:11" ht="25.5" customHeight="1" x14ac:dyDescent="0.25">
      <c r="A80" s="59"/>
      <c r="B80" s="60" t="s">
        <v>50</v>
      </c>
      <c r="C80" s="69" t="s">
        <v>178</v>
      </c>
      <c r="D80" s="61">
        <v>60600000</v>
      </c>
      <c r="E80" s="64" t="s">
        <v>178</v>
      </c>
      <c r="F80" s="61">
        <v>56421000</v>
      </c>
      <c r="G80" s="64" t="s">
        <v>178</v>
      </c>
      <c r="H80" s="104">
        <f t="shared" si="8"/>
        <v>4179000</v>
      </c>
    </row>
    <row r="81" spans="1:12" ht="24.75" customHeight="1" x14ac:dyDescent="0.25">
      <c r="A81" s="59"/>
      <c r="B81" s="60" t="s">
        <v>51</v>
      </c>
      <c r="C81" s="69" t="s">
        <v>178</v>
      </c>
      <c r="D81" s="61">
        <v>60600000</v>
      </c>
      <c r="E81" s="64" t="s">
        <v>178</v>
      </c>
      <c r="F81" s="61">
        <v>56421000</v>
      </c>
      <c r="G81" s="64" t="s">
        <v>178</v>
      </c>
      <c r="H81" s="104">
        <f t="shared" si="8"/>
        <v>4179000</v>
      </c>
    </row>
    <row r="82" spans="1:12" ht="24.75" customHeight="1" x14ac:dyDescent="0.25">
      <c r="A82" s="59"/>
      <c r="B82" s="60" t="s">
        <v>52</v>
      </c>
      <c r="C82" s="69" t="s">
        <v>178</v>
      </c>
      <c r="D82" s="61">
        <v>60600000</v>
      </c>
      <c r="E82" s="64" t="s">
        <v>178</v>
      </c>
      <c r="F82" s="61">
        <v>56036525</v>
      </c>
      <c r="G82" s="64" t="s">
        <v>178</v>
      </c>
      <c r="H82" s="104">
        <f t="shared" si="8"/>
        <v>4563475</v>
      </c>
    </row>
    <row r="83" spans="1:12" ht="27" customHeight="1" x14ac:dyDescent="0.25">
      <c r="A83" s="59"/>
      <c r="B83" s="60" t="s">
        <v>53</v>
      </c>
      <c r="C83" s="69" t="s">
        <v>178</v>
      </c>
      <c r="D83" s="61">
        <v>60600000</v>
      </c>
      <c r="E83" s="64" t="s">
        <v>178</v>
      </c>
      <c r="F83" s="61">
        <f>56036525-768950</f>
        <v>55267575</v>
      </c>
      <c r="G83" s="64" t="s">
        <v>178</v>
      </c>
      <c r="H83" s="104">
        <f t="shared" si="8"/>
        <v>5332425</v>
      </c>
    </row>
    <row r="84" spans="1:12" ht="27" customHeight="1" x14ac:dyDescent="0.25">
      <c r="A84" s="59"/>
      <c r="B84" s="60" t="s">
        <v>54</v>
      </c>
      <c r="C84" s="69" t="s">
        <v>178</v>
      </c>
      <c r="D84" s="61">
        <v>60600000</v>
      </c>
      <c r="E84" s="64" t="s">
        <v>178</v>
      </c>
      <c r="F84" s="61">
        <v>56036525</v>
      </c>
      <c r="G84" s="64" t="s">
        <v>178</v>
      </c>
      <c r="H84" s="104">
        <f t="shared" si="8"/>
        <v>4563475</v>
      </c>
    </row>
    <row r="85" spans="1:12" ht="27" customHeight="1" x14ac:dyDescent="0.25">
      <c r="A85" s="59"/>
      <c r="B85" s="60" t="s">
        <v>55</v>
      </c>
      <c r="C85" s="69" t="s">
        <v>178</v>
      </c>
      <c r="D85" s="61">
        <v>60600000</v>
      </c>
      <c r="E85" s="64" t="s">
        <v>178</v>
      </c>
      <c r="F85" s="61">
        <v>56036525</v>
      </c>
      <c r="G85" s="64" t="s">
        <v>178</v>
      </c>
      <c r="H85" s="104">
        <f t="shared" si="8"/>
        <v>4563475</v>
      </c>
    </row>
    <row r="86" spans="1:12" ht="27" customHeight="1" x14ac:dyDescent="0.25">
      <c r="A86" s="59"/>
      <c r="B86" s="60" t="s">
        <v>56</v>
      </c>
      <c r="C86" s="69" t="s">
        <v>178</v>
      </c>
      <c r="D86" s="61">
        <v>60600000</v>
      </c>
      <c r="E86" s="64" t="s">
        <v>178</v>
      </c>
      <c r="F86" s="61">
        <v>56039525</v>
      </c>
      <c r="G86" s="64" t="s">
        <v>178</v>
      </c>
      <c r="H86" s="78">
        <f t="shared" si="8"/>
        <v>4560475</v>
      </c>
    </row>
    <row r="87" spans="1:12" s="7" customFormat="1" ht="28.5" customHeight="1" x14ac:dyDescent="0.25">
      <c r="A87" s="97"/>
      <c r="B87" s="91"/>
      <c r="C87" s="69" t="s">
        <v>178</v>
      </c>
      <c r="D87" s="98">
        <f>SUM(D75:D86)</f>
        <v>727200000</v>
      </c>
      <c r="E87" s="64" t="s">
        <v>178</v>
      </c>
      <c r="F87" s="192">
        <f>SUM(F75:F86)</f>
        <v>724508675</v>
      </c>
      <c r="G87" s="64" t="s">
        <v>178</v>
      </c>
      <c r="H87" s="105">
        <f t="shared" ref="H87" si="9">SUM(H75:H86)</f>
        <v>2691325</v>
      </c>
      <c r="J87" s="50"/>
      <c r="K87" s="50">
        <v>718043800</v>
      </c>
      <c r="L87" s="5">
        <f>F87-K87</f>
        <v>6464875</v>
      </c>
    </row>
    <row r="88" spans="1:12" ht="8.25" customHeight="1" x14ac:dyDescent="0.25">
      <c r="A88" s="59"/>
      <c r="B88" s="60"/>
      <c r="C88" s="63"/>
      <c r="D88" s="61"/>
      <c r="E88" s="62"/>
      <c r="F88" s="63"/>
      <c r="G88" s="62"/>
      <c r="H88" s="63"/>
    </row>
    <row r="89" spans="1:12" ht="15.75" x14ac:dyDescent="0.25">
      <c r="A89" s="59" t="s">
        <v>57</v>
      </c>
      <c r="B89" s="66" t="s">
        <v>7</v>
      </c>
      <c r="C89" s="67"/>
      <c r="D89" s="61"/>
      <c r="E89" s="62"/>
      <c r="F89" s="63"/>
      <c r="G89" s="62"/>
      <c r="H89" s="63"/>
    </row>
    <row r="90" spans="1:12" ht="15.75" x14ac:dyDescent="0.25">
      <c r="A90" s="59"/>
      <c r="B90" s="60" t="s">
        <v>182</v>
      </c>
      <c r="C90" s="63"/>
      <c r="D90" s="61"/>
      <c r="E90" s="62"/>
      <c r="F90" s="63"/>
      <c r="G90" s="62"/>
      <c r="H90" s="63"/>
    </row>
    <row r="91" spans="1:12" ht="15.75" x14ac:dyDescent="0.25">
      <c r="A91" s="59"/>
      <c r="B91" s="60"/>
      <c r="C91" s="63"/>
      <c r="D91" s="81" t="s">
        <v>12</v>
      </c>
      <c r="E91" s="82"/>
      <c r="F91" s="82" t="s">
        <v>13</v>
      </c>
      <c r="G91" s="82"/>
      <c r="H91" s="82" t="s">
        <v>140</v>
      </c>
    </row>
    <row r="92" spans="1:12" ht="27.75" customHeight="1" x14ac:dyDescent="0.25">
      <c r="A92" s="59"/>
      <c r="B92" s="60" t="s">
        <v>41</v>
      </c>
      <c r="C92" s="69" t="s">
        <v>178</v>
      </c>
      <c r="D92" s="113">
        <v>0</v>
      </c>
      <c r="E92" s="114" t="s">
        <v>178</v>
      </c>
      <c r="F92" s="86">
        <v>0</v>
      </c>
      <c r="G92" s="114" t="s">
        <v>178</v>
      </c>
      <c r="H92" s="86">
        <v>0</v>
      </c>
    </row>
    <row r="93" spans="1:12" ht="29.25" customHeight="1" x14ac:dyDescent="0.25">
      <c r="A93" s="59"/>
      <c r="B93" s="60" t="s">
        <v>42</v>
      </c>
      <c r="C93" s="69" t="s">
        <v>178</v>
      </c>
      <c r="D93" s="115">
        <v>0</v>
      </c>
      <c r="E93" s="114" t="s">
        <v>178</v>
      </c>
      <c r="F93" s="116">
        <v>0</v>
      </c>
      <c r="G93" s="114" t="s">
        <v>178</v>
      </c>
      <c r="H93" s="116">
        <v>0</v>
      </c>
    </row>
    <row r="94" spans="1:12" ht="30" customHeight="1" x14ac:dyDescent="0.25">
      <c r="A94" s="59"/>
      <c r="B94" s="91"/>
      <c r="C94" s="69" t="s">
        <v>178</v>
      </c>
      <c r="D94" s="117">
        <f>SUM(D92:D93)</f>
        <v>0</v>
      </c>
      <c r="E94" s="114" t="s">
        <v>178</v>
      </c>
      <c r="F94" s="118">
        <f t="shared" ref="F94" si="10">SUM(F92:F93)</f>
        <v>0</v>
      </c>
      <c r="G94" s="114" t="s">
        <v>178</v>
      </c>
      <c r="H94" s="118">
        <f t="shared" ref="H94" si="11">SUM(H92:H93)</f>
        <v>0</v>
      </c>
    </row>
    <row r="95" spans="1:12" ht="15.75" x14ac:dyDescent="0.25">
      <c r="A95" s="59"/>
      <c r="B95" s="510" t="s">
        <v>216</v>
      </c>
      <c r="C95" s="510"/>
      <c r="D95" s="510"/>
      <c r="E95" s="510"/>
      <c r="F95" s="510"/>
      <c r="G95" s="510"/>
      <c r="H95" s="510"/>
    </row>
    <row r="96" spans="1:12" ht="11.25" customHeight="1" x14ac:dyDescent="0.25">
      <c r="A96" s="59"/>
      <c r="B96" s="60"/>
      <c r="C96" s="63"/>
      <c r="D96" s="61"/>
      <c r="E96" s="62"/>
      <c r="F96" s="63"/>
      <c r="G96" s="62"/>
      <c r="H96" s="63"/>
    </row>
    <row r="97" spans="1:8" ht="15.75" x14ac:dyDescent="0.25">
      <c r="A97" s="59" t="s">
        <v>58</v>
      </c>
      <c r="B97" s="66" t="s">
        <v>8</v>
      </c>
      <c r="C97" s="67"/>
      <c r="D97" s="61"/>
      <c r="E97" s="62"/>
      <c r="F97" s="63"/>
      <c r="G97" s="62"/>
      <c r="H97" s="63"/>
    </row>
    <row r="98" spans="1:8" ht="15.75" x14ac:dyDescent="0.25">
      <c r="A98" s="59"/>
      <c r="B98" s="60" t="s">
        <v>187</v>
      </c>
      <c r="C98" s="63"/>
      <c r="D98" s="61"/>
      <c r="E98" s="62"/>
      <c r="F98" s="63"/>
      <c r="G98" s="62"/>
      <c r="H98" s="63"/>
    </row>
    <row r="99" spans="1:8" ht="15.75" x14ac:dyDescent="0.25">
      <c r="A99" s="59"/>
      <c r="B99" s="60"/>
      <c r="C99" s="63"/>
      <c r="D99" s="81" t="s">
        <v>12</v>
      </c>
      <c r="E99" s="82"/>
      <c r="F99" s="82" t="s">
        <v>13</v>
      </c>
      <c r="G99" s="82"/>
      <c r="H99" s="82" t="s">
        <v>140</v>
      </c>
    </row>
    <row r="100" spans="1:8" ht="31.5" customHeight="1" x14ac:dyDescent="0.25">
      <c r="A100" s="59"/>
      <c r="B100" s="76" t="s">
        <v>220</v>
      </c>
      <c r="C100" s="69" t="s">
        <v>178</v>
      </c>
      <c r="D100" s="61">
        <v>235500000</v>
      </c>
      <c r="E100" s="64" t="s">
        <v>178</v>
      </c>
      <c r="F100" s="61">
        <v>0</v>
      </c>
      <c r="G100" s="64" t="s">
        <v>178</v>
      </c>
      <c r="H100" s="104">
        <v>0</v>
      </c>
    </row>
    <row r="101" spans="1:8" ht="24" customHeight="1" x14ac:dyDescent="0.25">
      <c r="A101" s="59"/>
      <c r="B101" s="60" t="s">
        <v>217</v>
      </c>
      <c r="C101" s="69" t="s">
        <v>178</v>
      </c>
      <c r="D101" s="61"/>
      <c r="E101" s="64" t="s">
        <v>178</v>
      </c>
      <c r="F101" s="61"/>
      <c r="G101" s="64" t="s">
        <v>178</v>
      </c>
      <c r="H101" s="104">
        <v>0</v>
      </c>
    </row>
    <row r="102" spans="1:8" ht="28.5" customHeight="1" x14ac:dyDescent="0.25">
      <c r="A102" s="59"/>
      <c r="B102" s="91"/>
      <c r="C102" s="69" t="s">
        <v>178</v>
      </c>
      <c r="D102" s="98">
        <f>SUM(D100:D101)</f>
        <v>235500000</v>
      </c>
      <c r="E102" s="64" t="s">
        <v>178</v>
      </c>
      <c r="F102" s="98">
        <f>SUM(F100:F101)</f>
        <v>0</v>
      </c>
      <c r="G102" s="64" t="s">
        <v>178</v>
      </c>
      <c r="H102" s="98">
        <f>SUM(H100:H101)</f>
        <v>0</v>
      </c>
    </row>
    <row r="103" spans="1:8" ht="28.5" customHeight="1" x14ac:dyDescent="0.25">
      <c r="A103" s="59"/>
      <c r="B103" s="91"/>
      <c r="C103" s="69"/>
      <c r="D103" s="106"/>
      <c r="E103" s="64"/>
      <c r="F103" s="106"/>
      <c r="G103" s="64"/>
      <c r="H103" s="106"/>
    </row>
    <row r="104" spans="1:8" ht="28.5" customHeight="1" x14ac:dyDescent="0.25">
      <c r="A104" s="59"/>
      <c r="B104" s="91"/>
      <c r="C104" s="69"/>
      <c r="D104" s="106"/>
      <c r="E104" s="64"/>
      <c r="F104" s="106"/>
      <c r="G104" s="64"/>
      <c r="H104" s="106"/>
    </row>
    <row r="105" spans="1:8" ht="28.5" customHeight="1" x14ac:dyDescent="0.25">
      <c r="A105" s="59"/>
      <c r="B105" s="91"/>
      <c r="C105" s="69"/>
      <c r="D105" s="106"/>
      <c r="E105" s="64"/>
      <c r="F105" s="106"/>
      <c r="G105" s="64"/>
      <c r="H105" s="106"/>
    </row>
    <row r="106" spans="1:8" ht="28.5" customHeight="1" x14ac:dyDescent="0.25">
      <c r="A106" s="59"/>
      <c r="B106" s="91"/>
      <c r="C106" s="69"/>
      <c r="D106" s="106"/>
      <c r="E106" s="64"/>
      <c r="F106" s="106"/>
      <c r="G106" s="64"/>
      <c r="H106" s="106"/>
    </row>
    <row r="107" spans="1:8" ht="28.5" customHeight="1" x14ac:dyDescent="0.25">
      <c r="A107" s="59"/>
      <c r="B107" s="91"/>
      <c r="C107" s="69"/>
      <c r="D107" s="106"/>
      <c r="E107" s="64"/>
      <c r="F107" s="106"/>
      <c r="G107" s="64"/>
      <c r="H107" s="106"/>
    </row>
    <row r="108" spans="1:8" ht="28.5" customHeight="1" x14ac:dyDescent="0.25">
      <c r="A108" s="59"/>
      <c r="B108" s="91"/>
      <c r="C108" s="69"/>
      <c r="D108" s="106"/>
      <c r="E108" s="64"/>
      <c r="F108" s="106"/>
      <c r="G108" s="64"/>
      <c r="H108" s="106"/>
    </row>
    <row r="109" spans="1:8" ht="28.5" customHeight="1" x14ac:dyDescent="0.25">
      <c r="A109" s="59"/>
      <c r="B109" s="91"/>
      <c r="C109" s="185"/>
      <c r="D109" s="106"/>
      <c r="E109" s="64"/>
      <c r="F109" s="106"/>
      <c r="G109" s="64"/>
      <c r="H109" s="106"/>
    </row>
    <row r="110" spans="1:8" ht="28.5" customHeight="1" x14ac:dyDescent="0.25">
      <c r="A110" s="59"/>
      <c r="B110" s="91"/>
      <c r="C110" s="185"/>
      <c r="D110" s="106"/>
      <c r="E110" s="64"/>
      <c r="F110" s="106"/>
      <c r="G110" s="64"/>
      <c r="H110" s="106"/>
    </row>
    <row r="111" spans="1:8" ht="28.5" customHeight="1" x14ac:dyDescent="0.25">
      <c r="A111" s="59"/>
      <c r="B111" s="91"/>
      <c r="C111" s="185"/>
      <c r="D111" s="106"/>
      <c r="E111" s="64"/>
      <c r="F111" s="106"/>
      <c r="G111" s="64"/>
      <c r="H111" s="106"/>
    </row>
    <row r="112" spans="1:8" ht="28.5" customHeight="1" x14ac:dyDescent="0.25">
      <c r="A112" s="59"/>
      <c r="B112" s="91"/>
      <c r="C112" s="69"/>
      <c r="D112" s="106"/>
      <c r="E112" s="64"/>
      <c r="F112" s="106"/>
      <c r="G112" s="64"/>
      <c r="H112" s="106"/>
    </row>
    <row r="113" spans="1:11" ht="28.5" customHeight="1" x14ac:dyDescent="0.25">
      <c r="A113" s="59"/>
      <c r="B113" s="91"/>
      <c r="C113" s="69"/>
      <c r="D113" s="106"/>
      <c r="E113" s="64"/>
      <c r="F113" s="106"/>
      <c r="G113" s="64"/>
      <c r="H113" s="106"/>
    </row>
    <row r="114" spans="1:11" ht="28.5" customHeight="1" x14ac:dyDescent="0.25">
      <c r="A114" s="59"/>
      <c r="B114" s="91"/>
      <c r="C114" s="69"/>
      <c r="D114" s="106"/>
      <c r="E114" s="64"/>
      <c r="F114" s="106"/>
      <c r="G114" s="64"/>
      <c r="H114" s="106"/>
    </row>
    <row r="115" spans="1:11" ht="27.75" customHeight="1" x14ac:dyDescent="0.25">
      <c r="A115" s="59"/>
      <c r="B115" s="91"/>
      <c r="C115" s="69"/>
      <c r="D115" s="106"/>
      <c r="E115" s="64"/>
      <c r="F115" s="107"/>
      <c r="G115" s="64"/>
      <c r="H115" s="119"/>
    </row>
    <row r="116" spans="1:11" ht="15.75" x14ac:dyDescent="0.25">
      <c r="A116" s="59" t="s">
        <v>59</v>
      </c>
      <c r="B116" s="66" t="s">
        <v>9</v>
      </c>
      <c r="C116" s="67"/>
      <c r="D116" s="61"/>
      <c r="E116" s="62"/>
      <c r="F116" s="63"/>
      <c r="G116" s="62"/>
      <c r="H116" s="63"/>
    </row>
    <row r="117" spans="1:11" ht="15.75" x14ac:dyDescent="0.25">
      <c r="A117" s="59"/>
      <c r="B117" s="60" t="s">
        <v>60</v>
      </c>
      <c r="C117" s="63"/>
      <c r="D117" s="61"/>
      <c r="E117" s="62"/>
      <c r="F117" s="63"/>
      <c r="G117" s="62"/>
      <c r="H117" s="63"/>
    </row>
    <row r="118" spans="1:11" ht="19.5" customHeight="1" x14ac:dyDescent="0.25">
      <c r="A118" s="59"/>
      <c r="B118" s="60"/>
      <c r="C118" s="63"/>
      <c r="D118" s="120" t="s">
        <v>12</v>
      </c>
      <c r="E118" s="121"/>
      <c r="F118" s="121" t="s">
        <v>13</v>
      </c>
      <c r="G118" s="121"/>
      <c r="H118" s="121" t="s">
        <v>140</v>
      </c>
    </row>
    <row r="119" spans="1:11" ht="34.5" customHeight="1" x14ac:dyDescent="0.25">
      <c r="A119" s="59"/>
      <c r="B119" s="76" t="s">
        <v>177</v>
      </c>
      <c r="C119" s="69" t="s">
        <v>178</v>
      </c>
      <c r="D119" s="122">
        <v>0</v>
      </c>
      <c r="E119" s="114" t="s">
        <v>178</v>
      </c>
      <c r="F119" s="123">
        <v>0</v>
      </c>
      <c r="G119" s="114" t="s">
        <v>178</v>
      </c>
      <c r="H119" s="123">
        <f>D119-F119</f>
        <v>0</v>
      </c>
      <c r="J119" s="10">
        <v>0</v>
      </c>
    </row>
    <row r="120" spans="1:11" s="2" customFormat="1" ht="47.25" x14ac:dyDescent="0.25">
      <c r="A120" s="124"/>
      <c r="B120" s="76" t="s">
        <v>61</v>
      </c>
      <c r="C120" s="69" t="s">
        <v>178</v>
      </c>
      <c r="D120" s="122">
        <v>13015000</v>
      </c>
      <c r="E120" s="64" t="s">
        <v>178</v>
      </c>
      <c r="F120" s="123">
        <f>D120</f>
        <v>13015000</v>
      </c>
      <c r="G120" s="64" t="s">
        <v>178</v>
      </c>
      <c r="H120" s="123">
        <f t="shared" ref="H120:H124" si="12">D120-F120</f>
        <v>0</v>
      </c>
      <c r="J120" s="52"/>
      <c r="K120" s="52"/>
    </row>
    <row r="121" spans="1:11" s="2" customFormat="1" ht="47.25" x14ac:dyDescent="0.25">
      <c r="A121" s="124"/>
      <c r="B121" s="76" t="s">
        <v>62</v>
      </c>
      <c r="C121" s="69" t="s">
        <v>178</v>
      </c>
      <c r="D121" s="122">
        <v>0</v>
      </c>
      <c r="E121" s="114" t="s">
        <v>178</v>
      </c>
      <c r="F121" s="123">
        <v>0</v>
      </c>
      <c r="G121" s="64" t="s">
        <v>178</v>
      </c>
      <c r="H121" s="123">
        <f t="shared" si="12"/>
        <v>0</v>
      </c>
      <c r="J121" s="52"/>
      <c r="K121" s="52"/>
    </row>
    <row r="122" spans="1:11" s="2" customFormat="1" ht="33" customHeight="1" x14ac:dyDescent="0.25">
      <c r="A122" s="124"/>
      <c r="B122" s="76" t="s">
        <v>63</v>
      </c>
      <c r="C122" s="69" t="s">
        <v>178</v>
      </c>
      <c r="D122" s="122">
        <v>0</v>
      </c>
      <c r="E122" s="114" t="s">
        <v>178</v>
      </c>
      <c r="F122" s="123">
        <v>0</v>
      </c>
      <c r="G122" s="64" t="s">
        <v>178</v>
      </c>
      <c r="H122" s="123">
        <f t="shared" si="12"/>
        <v>0</v>
      </c>
      <c r="J122" s="52"/>
      <c r="K122" s="52"/>
    </row>
    <row r="123" spans="1:11" s="2" customFormat="1" ht="48" customHeight="1" x14ac:dyDescent="0.25">
      <c r="A123" s="124"/>
      <c r="B123" s="76" t="s">
        <v>64</v>
      </c>
      <c r="C123" s="69" t="s">
        <v>178</v>
      </c>
      <c r="D123" s="122">
        <v>0</v>
      </c>
      <c r="E123" s="114" t="s">
        <v>178</v>
      </c>
      <c r="F123" s="123">
        <v>0</v>
      </c>
      <c r="G123" s="114" t="s">
        <v>178</v>
      </c>
      <c r="H123" s="123">
        <f t="shared" si="12"/>
        <v>0</v>
      </c>
      <c r="J123" s="52"/>
      <c r="K123" s="52"/>
    </row>
    <row r="124" spans="1:11" ht="27.75" customHeight="1" x14ac:dyDescent="0.25">
      <c r="A124" s="59"/>
      <c r="B124" s="76" t="s">
        <v>141</v>
      </c>
      <c r="C124" s="69" t="s">
        <v>178</v>
      </c>
      <c r="D124" s="125">
        <v>3000000</v>
      </c>
      <c r="E124" s="64" t="s">
        <v>178</v>
      </c>
      <c r="F124" s="67">
        <v>1741243</v>
      </c>
      <c r="G124" s="64" t="s">
        <v>178</v>
      </c>
      <c r="H124" s="67">
        <f t="shared" si="12"/>
        <v>1258757</v>
      </c>
    </row>
    <row r="125" spans="1:11" ht="37.5" customHeight="1" x14ac:dyDescent="0.25">
      <c r="A125" s="59"/>
      <c r="B125" s="76" t="s">
        <v>142</v>
      </c>
      <c r="C125" s="69" t="s">
        <v>178</v>
      </c>
      <c r="D125" s="126">
        <v>14000000</v>
      </c>
      <c r="E125" s="64" t="s">
        <v>178</v>
      </c>
      <c r="F125" s="126">
        <v>15090341</v>
      </c>
      <c r="G125" s="64" t="s">
        <v>178</v>
      </c>
      <c r="H125" s="127">
        <f>D125-F125</f>
        <v>-1090341</v>
      </c>
    </row>
    <row r="126" spans="1:11" s="7" customFormat="1" ht="30" customHeight="1" x14ac:dyDescent="0.25">
      <c r="A126" s="97"/>
      <c r="B126" s="91"/>
      <c r="C126" s="69" t="s">
        <v>178</v>
      </c>
      <c r="D126" s="128">
        <f>SUM(D119:D125)</f>
        <v>30015000</v>
      </c>
      <c r="E126" s="64" t="s">
        <v>178</v>
      </c>
      <c r="F126" s="129">
        <f t="shared" ref="F126:H126" si="13">SUM(F119:F125)</f>
        <v>29846584</v>
      </c>
      <c r="G126" s="64" t="s">
        <v>178</v>
      </c>
      <c r="H126" s="129">
        <f t="shared" si="13"/>
        <v>168416</v>
      </c>
      <c r="J126" s="50"/>
      <c r="K126" s="50"/>
    </row>
    <row r="127" spans="1:11" s="7" customFormat="1" ht="15.75" x14ac:dyDescent="0.25">
      <c r="A127" s="97"/>
      <c r="B127" s="94" t="s">
        <v>179</v>
      </c>
      <c r="C127" s="69"/>
      <c r="D127" s="130"/>
      <c r="E127" s="64"/>
      <c r="F127" s="131"/>
      <c r="G127" s="64"/>
      <c r="H127" s="131"/>
      <c r="J127" s="50"/>
      <c r="K127" s="50"/>
    </row>
    <row r="128" spans="1:11" s="7" customFormat="1" ht="32.25" customHeight="1" x14ac:dyDescent="0.25">
      <c r="A128" s="97"/>
      <c r="B128" s="511" t="s">
        <v>218</v>
      </c>
      <c r="C128" s="511"/>
      <c r="D128" s="511"/>
      <c r="E128" s="511"/>
      <c r="F128" s="511"/>
      <c r="G128" s="511"/>
      <c r="H128" s="511"/>
      <c r="J128" s="50"/>
      <c r="K128" s="50"/>
    </row>
    <row r="129" spans="1:11" s="7" customFormat="1" ht="31.5" customHeight="1" x14ac:dyDescent="0.25">
      <c r="A129" s="97"/>
      <c r="B129" s="505" t="s">
        <v>219</v>
      </c>
      <c r="C129" s="505"/>
      <c r="D129" s="505"/>
      <c r="E129" s="505"/>
      <c r="F129" s="505"/>
      <c r="G129" s="505"/>
      <c r="H129" s="505"/>
      <c r="J129" s="50"/>
      <c r="K129" s="50"/>
    </row>
    <row r="130" spans="1:11" s="7" customFormat="1" ht="15.75" x14ac:dyDescent="0.25">
      <c r="A130" s="97"/>
      <c r="B130" s="91"/>
      <c r="C130" s="100"/>
      <c r="D130" s="130"/>
      <c r="E130" s="96"/>
      <c r="F130" s="131"/>
      <c r="G130" s="96"/>
      <c r="H130" s="131"/>
      <c r="J130" s="50"/>
      <c r="K130" s="50"/>
    </row>
    <row r="131" spans="1:11" s="7" customFormat="1" ht="15.75" x14ac:dyDescent="0.25">
      <c r="A131" s="97"/>
      <c r="B131" s="91"/>
      <c r="C131" s="100"/>
      <c r="D131" s="130"/>
      <c r="E131" s="96"/>
      <c r="F131" s="131"/>
      <c r="G131" s="96"/>
      <c r="H131" s="131"/>
      <c r="J131" s="50"/>
      <c r="K131" s="50"/>
    </row>
    <row r="132" spans="1:11" ht="15.75" x14ac:dyDescent="0.25">
      <c r="A132" s="59" t="s">
        <v>65</v>
      </c>
      <c r="B132" s="507" t="s">
        <v>156</v>
      </c>
      <c r="C132" s="507"/>
      <c r="D132" s="507"/>
      <c r="E132" s="507"/>
      <c r="F132" s="507"/>
      <c r="G132" s="507"/>
      <c r="H132" s="507"/>
    </row>
    <row r="133" spans="1:11" ht="15.75" x14ac:dyDescent="0.25">
      <c r="A133" s="59"/>
      <c r="B133" s="507" t="s">
        <v>188</v>
      </c>
      <c r="C133" s="507"/>
      <c r="D133" s="507"/>
      <c r="E133" s="507"/>
      <c r="F133" s="507"/>
      <c r="G133" s="507"/>
      <c r="H133" s="507"/>
    </row>
    <row r="134" spans="1:11" ht="15.75" x14ac:dyDescent="0.25">
      <c r="A134" s="59"/>
      <c r="B134" s="94"/>
      <c r="C134" s="103"/>
      <c r="D134" s="81" t="s">
        <v>12</v>
      </c>
      <c r="E134" s="82"/>
      <c r="F134" s="82" t="s">
        <v>13</v>
      </c>
      <c r="G134" s="82"/>
      <c r="H134" s="82" t="s">
        <v>140</v>
      </c>
      <c r="K134" s="10">
        <f>D145-F145</f>
        <v>304001242</v>
      </c>
    </row>
    <row r="135" spans="1:11" ht="20.25" customHeight="1" x14ac:dyDescent="0.25">
      <c r="A135" s="59"/>
      <c r="B135" s="66" t="s">
        <v>66</v>
      </c>
      <c r="C135" s="69" t="s">
        <v>178</v>
      </c>
      <c r="D135" s="125">
        <f>39000000+523562500+42380300+42250000</f>
        <v>647192800</v>
      </c>
      <c r="E135" s="64" t="s">
        <v>178</v>
      </c>
      <c r="F135" s="125">
        <f>38790000+521081175+40478944+42250000</f>
        <v>642600119</v>
      </c>
      <c r="G135" s="64" t="s">
        <v>178</v>
      </c>
      <c r="H135" s="123">
        <f>D135-F135</f>
        <v>4592681</v>
      </c>
    </row>
    <row r="136" spans="1:11" ht="18.75" customHeight="1" x14ac:dyDescent="0.25">
      <c r="A136" s="59"/>
      <c r="B136" s="66" t="s">
        <v>67</v>
      </c>
      <c r="C136" s="69" t="s">
        <v>178</v>
      </c>
      <c r="D136" s="125">
        <f>38405140+4160000+12000000+1912000+1530000+10547500+545000+6553700+11936858+4205500+7156858+1452500+260000+160000+2000000+1955000+485000+27636000+53775000+3930000</f>
        <v>190606056</v>
      </c>
      <c r="E136" s="64" t="s">
        <v>178</v>
      </c>
      <c r="F136" s="67">
        <f>35338160+3636500+12000000+1864000+1530000+10547500+545000+5973500+10456750+4205500+6496750+1452500+160000+2000000+1955000+485000+27636000+51775000+3813074</f>
        <v>181870234</v>
      </c>
      <c r="G136" s="64" t="s">
        <v>178</v>
      </c>
      <c r="H136" s="67">
        <f>D136-F136</f>
        <v>8735822</v>
      </c>
    </row>
    <row r="137" spans="1:11" ht="21" customHeight="1" x14ac:dyDescent="0.25">
      <c r="A137" s="59"/>
      <c r="B137" s="66" t="s">
        <v>68</v>
      </c>
      <c r="C137" s="69" t="s">
        <v>178</v>
      </c>
      <c r="D137" s="122">
        <f>9960000+22500000</f>
        <v>32460000</v>
      </c>
      <c r="E137" s="114" t="s">
        <v>178</v>
      </c>
      <c r="F137" s="123">
        <f>9960000+21721550</f>
        <v>31681550</v>
      </c>
      <c r="G137" s="114" t="s">
        <v>178</v>
      </c>
      <c r="H137" s="123">
        <f>D137-F137</f>
        <v>778450</v>
      </c>
    </row>
    <row r="138" spans="1:11" ht="26.25" customHeight="1" x14ac:dyDescent="0.25">
      <c r="A138" s="59"/>
      <c r="B138" s="60"/>
      <c r="C138" s="69" t="s">
        <v>178</v>
      </c>
      <c r="D138" s="98">
        <f>SUM(D135:D137)</f>
        <v>870258856</v>
      </c>
      <c r="E138" s="64" t="s">
        <v>178</v>
      </c>
      <c r="F138" s="99">
        <f t="shared" ref="F138:H138" si="14">SUM(F135:F137)</f>
        <v>856151903</v>
      </c>
      <c r="G138" s="64" t="s">
        <v>178</v>
      </c>
      <c r="H138" s="99">
        <f t="shared" si="14"/>
        <v>14106953</v>
      </c>
    </row>
    <row r="139" spans="1:11" ht="15.75" x14ac:dyDescent="0.25">
      <c r="A139" s="59"/>
      <c r="B139" s="60"/>
      <c r="C139" s="63"/>
      <c r="D139" s="61"/>
      <c r="E139" s="62"/>
      <c r="F139" s="63"/>
      <c r="G139" s="62"/>
      <c r="H139" s="63"/>
    </row>
    <row r="140" spans="1:11" ht="15.75" x14ac:dyDescent="0.25">
      <c r="A140" s="59" t="s">
        <v>72</v>
      </c>
      <c r="B140" s="66" t="s">
        <v>70</v>
      </c>
      <c r="C140" s="67"/>
      <c r="D140" s="61"/>
      <c r="E140" s="62"/>
      <c r="F140" s="63"/>
      <c r="G140" s="62"/>
      <c r="H140" s="63"/>
    </row>
    <row r="141" spans="1:11" ht="15.75" x14ac:dyDescent="0.25">
      <c r="A141" s="59"/>
      <c r="B141" s="66" t="s">
        <v>69</v>
      </c>
      <c r="C141" s="67"/>
      <c r="D141" s="61"/>
      <c r="E141" s="62"/>
      <c r="F141" s="63"/>
      <c r="G141" s="62"/>
      <c r="H141" s="63"/>
    </row>
    <row r="142" spans="1:11" ht="15.75" x14ac:dyDescent="0.25">
      <c r="A142" s="59"/>
      <c r="B142" s="60"/>
      <c r="C142" s="63"/>
      <c r="D142" s="81" t="s">
        <v>12</v>
      </c>
      <c r="E142" s="82"/>
      <c r="F142" s="82" t="s">
        <v>13</v>
      </c>
      <c r="G142" s="82"/>
      <c r="H142" s="82" t="s">
        <v>140</v>
      </c>
      <c r="K142" s="10">
        <f>H145-14549400</f>
        <v>289451842</v>
      </c>
    </row>
    <row r="143" spans="1:11" ht="26.25" customHeight="1" x14ac:dyDescent="0.25">
      <c r="A143" s="59"/>
      <c r="B143" s="66" t="s">
        <v>67</v>
      </c>
      <c r="C143" s="69" t="s">
        <v>178</v>
      </c>
      <c r="D143" s="61">
        <f>13358000+3120000+730000+29047400+2835000+9676500+2240000+3250000+2250000+2502000+6480000+16367500+2270000+1658462+244000+240000+118805000+2250000</f>
        <v>217323862</v>
      </c>
      <c r="E143" s="64" t="s">
        <v>178</v>
      </c>
      <c r="F143" s="63">
        <f>8094000+3090000+730000+27923500+2835000+7256000+2240000+3250000+2250000+2484000+6480000+15753250+2270000+644750+240000+102662070+1824000</f>
        <v>190026570</v>
      </c>
      <c r="G143" s="64" t="s">
        <v>178</v>
      </c>
      <c r="H143" s="63">
        <f>D143-F143</f>
        <v>27297292</v>
      </c>
    </row>
    <row r="144" spans="1:11" ht="23.25" customHeight="1" x14ac:dyDescent="0.25">
      <c r="A144" s="59"/>
      <c r="B144" s="66" t="s">
        <v>68</v>
      </c>
      <c r="C144" s="69" t="s">
        <v>178</v>
      </c>
      <c r="D144" s="61">
        <f>88637500+8850000+530037480+25481000+30986000</f>
        <v>683991980</v>
      </c>
      <c r="E144" s="64" t="s">
        <v>178</v>
      </c>
      <c r="F144" s="63">
        <f>76377950+8850000+293869950+28190130</f>
        <v>407288030</v>
      </c>
      <c r="G144" s="64" t="s">
        <v>178</v>
      </c>
      <c r="H144" s="63">
        <f>D144-F144</f>
        <v>276703950</v>
      </c>
    </row>
    <row r="145" spans="1:12" ht="24.75" customHeight="1" x14ac:dyDescent="0.25">
      <c r="A145" s="59"/>
      <c r="B145" s="60"/>
      <c r="C145" s="69" t="s">
        <v>178</v>
      </c>
      <c r="D145" s="98">
        <f>SUM(D143:D144)</f>
        <v>901315842</v>
      </c>
      <c r="E145" s="64" t="s">
        <v>178</v>
      </c>
      <c r="F145" s="99">
        <f t="shared" ref="F145:H145" si="15">SUM(F143:F144)</f>
        <v>597314600</v>
      </c>
      <c r="G145" s="64" t="s">
        <v>178</v>
      </c>
      <c r="H145" s="99">
        <f t="shared" si="15"/>
        <v>304001242</v>
      </c>
    </row>
    <row r="146" spans="1:12" ht="15.75" x14ac:dyDescent="0.25">
      <c r="A146" s="59"/>
      <c r="B146" s="60"/>
      <c r="C146" s="63"/>
      <c r="D146" s="61"/>
      <c r="E146" s="62"/>
      <c r="F146" s="63"/>
      <c r="G146" s="62"/>
      <c r="H146" s="63"/>
    </row>
    <row r="147" spans="1:12" ht="15.75" x14ac:dyDescent="0.25">
      <c r="A147" s="59" t="s">
        <v>71</v>
      </c>
      <c r="B147" s="66" t="s">
        <v>148</v>
      </c>
      <c r="C147" s="67"/>
      <c r="D147" s="61"/>
      <c r="E147" s="62"/>
      <c r="F147" s="63"/>
      <c r="G147" s="62"/>
      <c r="H147" s="63"/>
    </row>
    <row r="148" spans="1:12" ht="15.75" x14ac:dyDescent="0.25">
      <c r="A148" s="59"/>
      <c r="B148" s="60" t="s">
        <v>189</v>
      </c>
      <c r="C148" s="63"/>
      <c r="D148" s="61"/>
      <c r="E148" s="62"/>
      <c r="F148" s="63"/>
      <c r="G148" s="62"/>
      <c r="H148" s="63"/>
    </row>
    <row r="149" spans="1:12" ht="15.75" x14ac:dyDescent="0.25">
      <c r="A149" s="59"/>
      <c r="B149" s="60"/>
      <c r="C149" s="63"/>
      <c r="D149" s="81" t="s">
        <v>12</v>
      </c>
      <c r="E149" s="82"/>
      <c r="F149" s="82" t="s">
        <v>13</v>
      </c>
      <c r="G149" s="82"/>
      <c r="H149" s="82" t="s">
        <v>140</v>
      </c>
    </row>
    <row r="150" spans="1:12" ht="27.75" customHeight="1" x14ac:dyDescent="0.25">
      <c r="A150" s="59"/>
      <c r="B150" s="66" t="s">
        <v>67</v>
      </c>
      <c r="C150" s="69" t="s">
        <v>178</v>
      </c>
      <c r="D150" s="125">
        <f>2070000+6910000+1320000+1472500+1320000+950000+3233020+2317000+2500000+1300000+1472500+2180000</f>
        <v>27045020</v>
      </c>
      <c r="E150" s="64" t="s">
        <v>178</v>
      </c>
      <c r="F150" s="67">
        <f>2070000+375000+1320000+1443250+1320000+950000+3228750+2317000+1620000+1300000+1443250+1862000</f>
        <v>19249250</v>
      </c>
      <c r="G150" s="64" t="s">
        <v>178</v>
      </c>
      <c r="H150" s="67">
        <f>D150-F150</f>
        <v>7795770</v>
      </c>
    </row>
    <row r="151" spans="1:12" ht="25.5" customHeight="1" x14ac:dyDescent="0.25">
      <c r="A151" s="59"/>
      <c r="B151" s="66" t="s">
        <v>68</v>
      </c>
      <c r="C151" s="69" t="s">
        <v>178</v>
      </c>
      <c r="D151" s="115">
        <v>0</v>
      </c>
      <c r="E151" s="114" t="s">
        <v>178</v>
      </c>
      <c r="F151" s="116">
        <v>0</v>
      </c>
      <c r="G151" s="114" t="s">
        <v>178</v>
      </c>
      <c r="H151" s="123">
        <f>D151-F151</f>
        <v>0</v>
      </c>
    </row>
    <row r="152" spans="1:12" ht="27" customHeight="1" x14ac:dyDescent="0.25">
      <c r="A152" s="59"/>
      <c r="B152" s="60"/>
      <c r="C152" s="69" t="s">
        <v>178</v>
      </c>
      <c r="D152" s="98">
        <f>SUM(D150:D151)</f>
        <v>27045020</v>
      </c>
      <c r="E152" s="64" t="s">
        <v>178</v>
      </c>
      <c r="F152" s="99">
        <f t="shared" ref="F152:H152" si="16">SUM(F150:F151)</f>
        <v>19249250</v>
      </c>
      <c r="G152" s="64" t="s">
        <v>178</v>
      </c>
      <c r="H152" s="99">
        <f t="shared" si="16"/>
        <v>7795770</v>
      </c>
      <c r="J152" s="10">
        <v>34936380</v>
      </c>
      <c r="K152" s="10">
        <v>33301100</v>
      </c>
      <c r="L152">
        <v>1635280</v>
      </c>
    </row>
    <row r="153" spans="1:12" ht="14.25" customHeight="1" x14ac:dyDescent="0.25">
      <c r="A153" s="59"/>
      <c r="B153" s="60"/>
      <c r="C153" s="69"/>
      <c r="D153" s="106"/>
      <c r="E153" s="64"/>
      <c r="F153" s="107"/>
      <c r="G153" s="64"/>
      <c r="H153" s="107"/>
    </row>
    <row r="154" spans="1:12" ht="15.75" x14ac:dyDescent="0.25">
      <c r="A154" s="59" t="s">
        <v>73</v>
      </c>
      <c r="B154" s="66" t="s">
        <v>113</v>
      </c>
      <c r="C154" s="67"/>
      <c r="D154" s="61"/>
      <c r="E154" s="62"/>
      <c r="F154" s="63"/>
      <c r="G154" s="62"/>
      <c r="H154" s="63"/>
    </row>
    <row r="155" spans="1:12" ht="15.75" x14ac:dyDescent="0.25">
      <c r="A155" s="59"/>
      <c r="B155" s="66" t="s">
        <v>192</v>
      </c>
      <c r="C155" s="67"/>
      <c r="D155" s="61"/>
      <c r="E155" s="62"/>
      <c r="F155" s="63"/>
      <c r="G155" s="62"/>
      <c r="H155" s="63"/>
    </row>
    <row r="156" spans="1:12" ht="15.75" x14ac:dyDescent="0.25">
      <c r="A156" s="59"/>
      <c r="B156" s="60"/>
      <c r="C156" s="63"/>
      <c r="D156" s="81" t="s">
        <v>12</v>
      </c>
      <c r="E156" s="82"/>
      <c r="F156" s="82" t="s">
        <v>13</v>
      </c>
      <c r="G156" s="82"/>
      <c r="H156" s="82" t="s">
        <v>140</v>
      </c>
    </row>
    <row r="157" spans="1:12" ht="29.25" customHeight="1" x14ac:dyDescent="0.25">
      <c r="A157" s="59"/>
      <c r="B157" s="66" t="s">
        <v>67</v>
      </c>
      <c r="C157" s="69" t="s">
        <v>178</v>
      </c>
      <c r="D157" s="125">
        <f>5177500+900000+5835000+13015000+5550000+2920000+2504800</f>
        <v>35902300</v>
      </c>
      <c r="E157" s="64" t="s">
        <v>178</v>
      </c>
      <c r="F157" s="67">
        <f>5042500+900000+5835000+13015000+5550000+2920000+2504750</f>
        <v>35767250</v>
      </c>
      <c r="G157" s="64" t="s">
        <v>178</v>
      </c>
      <c r="H157" s="123">
        <f>D157-F157</f>
        <v>135050</v>
      </c>
      <c r="J157" s="10">
        <f>35346000+482356800+24079200+42060000</f>
        <v>583842000</v>
      </c>
    </row>
    <row r="158" spans="1:12" ht="25.5" customHeight="1" x14ac:dyDescent="0.25">
      <c r="A158" s="59"/>
      <c r="B158" s="66" t="s">
        <v>68</v>
      </c>
      <c r="C158" s="69" t="s">
        <v>178</v>
      </c>
      <c r="D158" s="115">
        <v>0</v>
      </c>
      <c r="E158" s="114" t="s">
        <v>178</v>
      </c>
      <c r="F158" s="116">
        <v>0</v>
      </c>
      <c r="G158" s="114" t="s">
        <v>178</v>
      </c>
      <c r="H158" s="116">
        <v>0</v>
      </c>
    </row>
    <row r="159" spans="1:12" ht="27" customHeight="1" x14ac:dyDescent="0.25">
      <c r="A159" s="59"/>
      <c r="B159" s="60"/>
      <c r="C159" s="69" t="s">
        <v>178</v>
      </c>
      <c r="D159" s="98">
        <f>SUM(D157:D158)</f>
        <v>35902300</v>
      </c>
      <c r="E159" s="64" t="s">
        <v>178</v>
      </c>
      <c r="F159" s="99">
        <f t="shared" ref="F159:H159" si="17">SUM(F157:F158)</f>
        <v>35767250</v>
      </c>
      <c r="G159" s="64" t="s">
        <v>178</v>
      </c>
      <c r="H159" s="118">
        <f t="shared" si="17"/>
        <v>135050</v>
      </c>
    </row>
    <row r="160" spans="1:12" ht="15.75" x14ac:dyDescent="0.25">
      <c r="A160" s="59"/>
      <c r="B160" s="60"/>
      <c r="C160" s="69"/>
      <c r="D160" s="106"/>
      <c r="E160" s="64"/>
      <c r="F160" s="107"/>
      <c r="G160" s="64"/>
      <c r="H160" s="107"/>
    </row>
    <row r="161" spans="1:10" ht="15.75" x14ac:dyDescent="0.25">
      <c r="A161" s="59" t="s">
        <v>76</v>
      </c>
      <c r="B161" s="66" t="s">
        <v>225</v>
      </c>
      <c r="C161" s="67"/>
      <c r="D161" s="61"/>
      <c r="E161" s="62"/>
      <c r="F161" s="63"/>
      <c r="G161" s="62"/>
      <c r="H161" s="63"/>
      <c r="J161" s="53"/>
    </row>
    <row r="162" spans="1:10" ht="30" customHeight="1" x14ac:dyDescent="0.25">
      <c r="A162" s="59"/>
      <c r="B162" s="504" t="s">
        <v>226</v>
      </c>
      <c r="C162" s="504"/>
      <c r="D162" s="504"/>
      <c r="E162" s="504"/>
      <c r="F162" s="504"/>
      <c r="G162" s="504"/>
      <c r="H162" s="504"/>
    </row>
    <row r="163" spans="1:10" ht="15.75" x14ac:dyDescent="0.25">
      <c r="A163" s="59"/>
      <c r="B163" s="60"/>
      <c r="C163" s="63"/>
      <c r="D163" s="81" t="s">
        <v>12</v>
      </c>
      <c r="E163" s="82"/>
      <c r="F163" s="82" t="s">
        <v>13</v>
      </c>
      <c r="G163" s="82"/>
      <c r="H163" s="82" t="s">
        <v>140</v>
      </c>
    </row>
    <row r="164" spans="1:10" ht="29.25" customHeight="1" x14ac:dyDescent="0.25">
      <c r="A164" s="59"/>
      <c r="B164" s="66" t="s">
        <v>67</v>
      </c>
      <c r="C164" s="190" t="s">
        <v>178</v>
      </c>
      <c r="D164" s="125">
        <f>54202500+5000000+214200000</f>
        <v>273402500</v>
      </c>
      <c r="E164" s="64" t="s">
        <v>178</v>
      </c>
      <c r="F164" s="67">
        <f>41111750+212400000</f>
        <v>253511750</v>
      </c>
      <c r="G164" s="64" t="s">
        <v>178</v>
      </c>
      <c r="H164" s="123">
        <f>D164-F164</f>
        <v>19890750</v>
      </c>
      <c r="J164" s="10">
        <f>35346000+482356800+24079200+42060000</f>
        <v>583842000</v>
      </c>
    </row>
    <row r="165" spans="1:10" ht="25.5" customHeight="1" x14ac:dyDescent="0.25">
      <c r="A165" s="59"/>
      <c r="B165" s="66" t="s">
        <v>68</v>
      </c>
      <c r="C165" s="190" t="s">
        <v>178</v>
      </c>
      <c r="D165" s="115">
        <v>2000000</v>
      </c>
      <c r="E165" s="114" t="s">
        <v>178</v>
      </c>
      <c r="F165" s="116">
        <v>12000000</v>
      </c>
      <c r="G165" s="114" t="s">
        <v>178</v>
      </c>
      <c r="H165" s="116">
        <v>0</v>
      </c>
    </row>
    <row r="166" spans="1:10" ht="22.5" customHeight="1" x14ac:dyDescent="0.25">
      <c r="A166" s="59"/>
      <c r="B166" s="60"/>
      <c r="C166" s="69" t="s">
        <v>178</v>
      </c>
      <c r="D166" s="117">
        <f>SUM(D164:D165)</f>
        <v>275402500</v>
      </c>
      <c r="E166" s="114" t="s">
        <v>178</v>
      </c>
      <c r="F166" s="117">
        <f>SUM(F164:F165)</f>
        <v>265511750</v>
      </c>
      <c r="G166" s="114" t="s">
        <v>178</v>
      </c>
      <c r="H166" s="117">
        <f>SUM(H164:H165)</f>
        <v>19890750</v>
      </c>
    </row>
    <row r="167" spans="1:10" ht="22.5" customHeight="1" x14ac:dyDescent="0.25">
      <c r="A167" s="59"/>
      <c r="B167" s="60"/>
      <c r="C167" s="185"/>
      <c r="D167" s="175"/>
      <c r="E167" s="114"/>
      <c r="F167" s="176"/>
      <c r="G167" s="114"/>
      <c r="H167" s="176"/>
    </row>
    <row r="168" spans="1:10" ht="22.5" customHeight="1" x14ac:dyDescent="0.25">
      <c r="A168" s="59"/>
      <c r="B168" s="60"/>
      <c r="C168" s="185"/>
      <c r="D168" s="175"/>
      <c r="E168" s="114"/>
      <c r="F168" s="176"/>
      <c r="G168" s="114"/>
      <c r="H168" s="176"/>
    </row>
    <row r="169" spans="1:10" ht="22.5" customHeight="1" x14ac:dyDescent="0.25">
      <c r="A169" s="59"/>
      <c r="B169" s="60"/>
      <c r="C169" s="185"/>
      <c r="D169" s="175"/>
      <c r="E169" s="114"/>
      <c r="F169" s="176"/>
      <c r="G169" s="114"/>
      <c r="H169" s="176"/>
    </row>
    <row r="170" spans="1:10" ht="22.5" customHeight="1" x14ac:dyDescent="0.25">
      <c r="A170" s="59"/>
      <c r="B170" s="60"/>
      <c r="C170" s="69"/>
      <c r="D170" s="175"/>
      <c r="E170" s="114"/>
      <c r="F170" s="176"/>
      <c r="G170" s="114"/>
      <c r="H170" s="176"/>
    </row>
    <row r="171" spans="1:10" ht="34.5" customHeight="1" x14ac:dyDescent="0.25">
      <c r="A171" s="59"/>
      <c r="B171" s="60"/>
      <c r="C171" s="63"/>
      <c r="D171" s="61"/>
      <c r="E171" s="62"/>
      <c r="F171" s="63"/>
      <c r="G171" s="62"/>
      <c r="H171" s="63"/>
    </row>
    <row r="172" spans="1:10" ht="15.75" x14ac:dyDescent="0.25">
      <c r="A172" s="59" t="s">
        <v>75</v>
      </c>
      <c r="B172" s="66" t="s">
        <v>147</v>
      </c>
      <c r="C172" s="67"/>
      <c r="D172" s="61"/>
      <c r="E172" s="62"/>
      <c r="F172" s="63"/>
      <c r="G172" s="62"/>
      <c r="H172" s="63"/>
    </row>
    <row r="173" spans="1:10" ht="15.75" x14ac:dyDescent="0.25">
      <c r="A173" s="59"/>
      <c r="B173" s="66" t="s">
        <v>190</v>
      </c>
      <c r="C173" s="67"/>
      <c r="D173" s="61"/>
      <c r="E173" s="62"/>
      <c r="F173" s="63"/>
      <c r="G173" s="62"/>
      <c r="H173" s="63"/>
    </row>
    <row r="174" spans="1:10" ht="15.75" x14ac:dyDescent="0.25">
      <c r="A174" s="59"/>
      <c r="B174" s="60"/>
      <c r="C174" s="63"/>
      <c r="D174" s="81" t="s">
        <v>12</v>
      </c>
      <c r="E174" s="82"/>
      <c r="F174" s="82" t="s">
        <v>13</v>
      </c>
      <c r="G174" s="82"/>
      <c r="H174" s="82" t="s">
        <v>140</v>
      </c>
    </row>
    <row r="175" spans="1:10" ht="15.75" x14ac:dyDescent="0.25">
      <c r="A175" s="59"/>
      <c r="B175" s="66" t="s">
        <v>66</v>
      </c>
      <c r="C175" s="67"/>
      <c r="D175" s="132"/>
      <c r="E175" s="133"/>
      <c r="F175" s="134"/>
      <c r="G175" s="133"/>
      <c r="H175" s="134"/>
    </row>
    <row r="176" spans="1:10" ht="31.5" customHeight="1" x14ac:dyDescent="0.25">
      <c r="A176" s="59"/>
      <c r="B176" s="76" t="s">
        <v>144</v>
      </c>
      <c r="C176" s="69" t="s">
        <v>178</v>
      </c>
      <c r="D176" s="135">
        <v>39000000</v>
      </c>
      <c r="E176" s="64" t="s">
        <v>178</v>
      </c>
      <c r="F176" s="136">
        <v>32606000</v>
      </c>
      <c r="G176" s="64" t="s">
        <v>178</v>
      </c>
      <c r="H176" s="137">
        <f>D176-F176</f>
        <v>6394000</v>
      </c>
    </row>
    <row r="177" spans="1:13" ht="33.75" customHeight="1" x14ac:dyDescent="0.25">
      <c r="A177" s="59"/>
      <c r="B177" s="76" t="s">
        <v>143</v>
      </c>
      <c r="C177" s="69" t="s">
        <v>178</v>
      </c>
      <c r="D177" s="135">
        <v>523562500</v>
      </c>
      <c r="E177" s="64" t="s">
        <v>178</v>
      </c>
      <c r="F177" s="136">
        <v>482356800</v>
      </c>
      <c r="G177" s="64" t="s">
        <v>178</v>
      </c>
      <c r="H177" s="137">
        <f>D177-F177</f>
        <v>41205700</v>
      </c>
    </row>
    <row r="178" spans="1:13" ht="35.25" customHeight="1" x14ac:dyDescent="0.25">
      <c r="A178" s="59"/>
      <c r="B178" s="76" t="s">
        <v>77</v>
      </c>
      <c r="C178" s="69" t="s">
        <v>178</v>
      </c>
      <c r="D178" s="138">
        <v>42380300</v>
      </c>
      <c r="E178" s="139" t="s">
        <v>178</v>
      </c>
      <c r="F178" s="140">
        <v>20358850</v>
      </c>
      <c r="G178" s="139" t="s">
        <v>178</v>
      </c>
      <c r="H178" s="141">
        <f>D178-F178</f>
        <v>22021450</v>
      </c>
      <c r="J178" s="54"/>
      <c r="K178" s="54"/>
    </row>
    <row r="179" spans="1:13" ht="33" customHeight="1" x14ac:dyDescent="0.25">
      <c r="A179" s="59"/>
      <c r="B179" s="66" t="s">
        <v>146</v>
      </c>
      <c r="C179" s="69" t="s">
        <v>178</v>
      </c>
      <c r="D179" s="142">
        <v>42250000</v>
      </c>
      <c r="E179" s="139" t="s">
        <v>178</v>
      </c>
      <c r="F179" s="143">
        <v>42060000</v>
      </c>
      <c r="G179" s="139" t="s">
        <v>178</v>
      </c>
      <c r="H179" s="141">
        <v>0</v>
      </c>
      <c r="J179" s="55"/>
      <c r="K179" s="55"/>
    </row>
    <row r="180" spans="1:13" ht="28.5" customHeight="1" x14ac:dyDescent="0.25">
      <c r="A180" s="59"/>
      <c r="B180" s="144"/>
      <c r="C180" s="69" t="s">
        <v>178</v>
      </c>
      <c r="D180" s="145">
        <f>SUM(D176:D179)</f>
        <v>647192800</v>
      </c>
      <c r="E180" s="139" t="s">
        <v>178</v>
      </c>
      <c r="F180" s="146">
        <f t="shared" ref="F180:H180" si="18">SUM(F176:F179)</f>
        <v>577381650</v>
      </c>
      <c r="G180" s="139" t="s">
        <v>178</v>
      </c>
      <c r="H180" s="147">
        <f t="shared" si="18"/>
        <v>69621150</v>
      </c>
    </row>
    <row r="181" spans="1:13" ht="15.75" x14ac:dyDescent="0.25">
      <c r="A181" s="59"/>
      <c r="B181" s="177" t="s">
        <v>67</v>
      </c>
      <c r="C181" s="67"/>
      <c r="D181" s="148"/>
      <c r="E181" s="149"/>
      <c r="F181" s="150"/>
      <c r="G181" s="149"/>
      <c r="H181" s="150"/>
    </row>
    <row r="182" spans="1:13" ht="30.75" customHeight="1" x14ac:dyDescent="0.25">
      <c r="A182" s="59"/>
      <c r="B182" s="178" t="s">
        <v>80</v>
      </c>
      <c r="C182" s="69" t="s">
        <v>178</v>
      </c>
      <c r="D182" s="179">
        <f>19865140+3900000+600000+3377500+545000+4133700+11936858+4205500+2956858+1452500+260000+160000+1955000+485000+16355000+180000+854000+300000+730000+5977400+1410000+8026500+1040000+1800000+342000+3497500+1070000+1658462+244000+240000+330000+2250000+1620000+4460000+1472500+870000+500000+233020+817000+2500000+850000+1472500+2180000+4337500+900000+5835000+565000+3000000+1495000+704800+33777500</f>
        <v>169727738</v>
      </c>
      <c r="E182" s="64" t="s">
        <v>178</v>
      </c>
      <c r="F182" s="180">
        <f>18998700+3546500+600000+3377500+545000+3553500+10456750+4205500+2296750+1452500+260000+160000+1955000+485000+14355000+180000+300000+730000+4953500+1410000+6056000+1040000+1800000+324000+2883250+1070000+644750+240000+330000+1824000+1620000+375000+870000+1443250+870000+500000+228750+817000+1620000+850000+1443250+1862000+4202500+315000+5835000+565000+3000000+1495000+704750+20686750</f>
        <v>139336450</v>
      </c>
      <c r="G182" s="64" t="s">
        <v>178</v>
      </c>
      <c r="H182" s="180">
        <f>D182-F182</f>
        <v>30391288</v>
      </c>
      <c r="J182" s="8">
        <f>15686965+2472500+31500+635035+425000+1400000+4519500+3035000+632500+1839400+2400000+34989600+1657000+29050000+185000+172500+100000+373750+8122500+2130000+4295100+1720000+342000+4108650+487500+487500+387500+70000+50000+200000+100000+2175000+7605000+6900000+1007500+770000+190000+1195500+4052500+1007500+2080000+310000+1225000</f>
        <v>150624000</v>
      </c>
      <c r="K182" s="8">
        <f>15686950+2472500+31500+635000+425000+1400000+4519500+3035000+632500+1839250+2400000+34989500+1657000+13643000+185000+172500+100000+100000+8122500+2130000+4295000+1720000+324000+4108500+487500+487500+387500+70000+50000+200000+100000+1380000+7605000+6900000+1007500+190000+1195500+4047500+1007500+2080000+310000+1225000</f>
        <v>133354700</v>
      </c>
      <c r="L182" s="8">
        <f>J182-K182</f>
        <v>17269300</v>
      </c>
    </row>
    <row r="183" spans="1:13" ht="18.75" customHeight="1" x14ac:dyDescent="0.25">
      <c r="A183" s="59"/>
      <c r="B183" s="177" t="s">
        <v>81</v>
      </c>
      <c r="C183" s="69" t="s">
        <v>178</v>
      </c>
      <c r="D183" s="132">
        <f>12100000+11400000+7170000+2420000+4200000+2000000+22530000+450000+10710000+2400000+22170000+1425000+1650000+1200000+2160000+12870000+1200000+1375000+450000+1400000+450000+450000+450000+3000000+450000+840000+585000+2550000+1425000+1050000+2500000</f>
        <v>135030000</v>
      </c>
      <c r="E183" s="64" t="s">
        <v>178</v>
      </c>
      <c r="F183" s="134">
        <f>12100000+11400000+7170000+2420000+4200000+2000000+22530000+450000+6300000+2400000+22170000+1425000+1200000+1200000+450000+1620000+12870000+1200000+1375000+450000+450000+450000+450000+3000000+1500000+450000+840000+585000+2550000+1425000+1050000+2500000</f>
        <v>130180000</v>
      </c>
      <c r="G183" s="64" t="s">
        <v>178</v>
      </c>
      <c r="H183" s="180">
        <f t="shared" ref="H183:H189" si="19">D183-F183</f>
        <v>4850000</v>
      </c>
      <c r="J183" s="10">
        <f>13475000+11400000+8260000+1820000+2400000+32094400+26950000+4050000+10800000+2400000+20400000+450000+600000+900000+1980000+11700000+1375000+1075000+450000+450000+3000000+525000+1950000</f>
        <v>158504400</v>
      </c>
      <c r="K183" s="10">
        <f>13475000+8260000+1820000+2400000+32094400+26950000+4050000+6150000+2400000+20400000+450000+600000+900000+1980000+11700000+1375000+1075000+450000+3000000+525000+1950000+11400000</f>
        <v>153404400</v>
      </c>
      <c r="L183" s="8">
        <f t="shared" ref="L183:L189" si="20">J183-K183</f>
        <v>5100000</v>
      </c>
      <c r="M183" s="47">
        <f>H183-L183</f>
        <v>-250000</v>
      </c>
    </row>
    <row r="184" spans="1:13" ht="32.25" customHeight="1" x14ac:dyDescent="0.25">
      <c r="A184" s="59"/>
      <c r="B184" s="178" t="s">
        <v>82</v>
      </c>
      <c r="C184" s="69" t="s">
        <v>178</v>
      </c>
      <c r="D184" s="132"/>
      <c r="E184" s="64" t="s">
        <v>178</v>
      </c>
      <c r="F184" s="134"/>
      <c r="G184" s="64" t="s">
        <v>178</v>
      </c>
      <c r="H184" s="180">
        <f t="shared" si="19"/>
        <v>0</v>
      </c>
      <c r="L184" s="8">
        <f t="shared" si="20"/>
        <v>0</v>
      </c>
    </row>
    <row r="185" spans="1:13" ht="19.5" customHeight="1" x14ac:dyDescent="0.25">
      <c r="A185" s="59"/>
      <c r="B185" s="178" t="s">
        <v>83</v>
      </c>
      <c r="C185" s="69" t="s">
        <v>178</v>
      </c>
      <c r="D185" s="132">
        <f>4700000+1050000+750000+400000</f>
        <v>6900000</v>
      </c>
      <c r="E185" s="64" t="s">
        <v>178</v>
      </c>
      <c r="F185" s="134">
        <f>4700000+750000+400000</f>
        <v>5850000</v>
      </c>
      <c r="G185" s="64" t="s">
        <v>178</v>
      </c>
      <c r="H185" s="180">
        <f t="shared" si="19"/>
        <v>1050000</v>
      </c>
      <c r="J185" s="10">
        <f>2350000+2000000+1080000+650000</f>
        <v>6080000</v>
      </c>
      <c r="K185" s="10">
        <f>2000000+2350000+1080000+650000</f>
        <v>6080000</v>
      </c>
      <c r="L185" s="8">
        <f t="shared" si="20"/>
        <v>0</v>
      </c>
    </row>
    <row r="186" spans="1:13" ht="28.5" customHeight="1" x14ac:dyDescent="0.25">
      <c r="A186" s="59"/>
      <c r="B186" s="178" t="s">
        <v>78</v>
      </c>
      <c r="C186" s="69" t="s">
        <v>178</v>
      </c>
      <c r="D186" s="132">
        <f>3190000+3300000+420000</f>
        <v>6910000</v>
      </c>
      <c r="E186" s="64" t="s">
        <v>178</v>
      </c>
      <c r="F186" s="134">
        <f>1089460+3183074+390000</f>
        <v>4662534</v>
      </c>
      <c r="G186" s="64" t="s">
        <v>178</v>
      </c>
      <c r="H186" s="180">
        <f t="shared" si="19"/>
        <v>2247466</v>
      </c>
      <c r="J186" s="10">
        <f>6970000+3300000+420000</f>
        <v>10690000</v>
      </c>
      <c r="K186" s="10">
        <f>6856400+390000+2788319</f>
        <v>10034719</v>
      </c>
      <c r="L186" s="8">
        <f t="shared" si="20"/>
        <v>655281</v>
      </c>
    </row>
    <row r="187" spans="1:13" ht="21.75" customHeight="1" x14ac:dyDescent="0.25">
      <c r="A187" s="59"/>
      <c r="B187" s="177" t="s">
        <v>79</v>
      </c>
      <c r="C187" s="69" t="s">
        <v>178</v>
      </c>
      <c r="D187" s="132">
        <f>1912000+1530000</f>
        <v>3442000</v>
      </c>
      <c r="E187" s="64" t="s">
        <v>178</v>
      </c>
      <c r="F187" s="134">
        <f>1864000+1530000</f>
        <v>3394000</v>
      </c>
      <c r="G187" s="64" t="s">
        <v>178</v>
      </c>
      <c r="H187" s="180">
        <f t="shared" si="19"/>
        <v>48000</v>
      </c>
      <c r="J187" s="10">
        <f>2162000+2170000</f>
        <v>4332000</v>
      </c>
      <c r="K187" s="10">
        <f>2162000+2170000</f>
        <v>4332000</v>
      </c>
      <c r="L187" s="8">
        <f t="shared" si="20"/>
        <v>0</v>
      </c>
    </row>
    <row r="188" spans="1:13" ht="47.25" x14ac:dyDescent="0.25">
      <c r="A188" s="59"/>
      <c r="B188" s="178" t="s">
        <v>84</v>
      </c>
      <c r="C188" s="69" t="s">
        <v>178</v>
      </c>
      <c r="D188" s="181">
        <f>27636000+9390000+1794000+900000+3250000+6480000+117100000+12450000+7525000</f>
        <v>186525000</v>
      </c>
      <c r="E188" s="64" t="s">
        <v>178</v>
      </c>
      <c r="F188" s="182">
        <f>27636000+9390000+1794000+800000+3250000+6480000+100957070+12450000+7525000</f>
        <v>170282070</v>
      </c>
      <c r="G188" s="64" t="s">
        <v>178</v>
      </c>
      <c r="H188" s="180">
        <f t="shared" si="19"/>
        <v>16242930</v>
      </c>
      <c r="J188" s="56">
        <f>15020000+15000000+10868000+6480000+116740000+57512000+6500000+19125000+9410000</f>
        <v>256655000</v>
      </c>
      <c r="K188" s="56">
        <f>15020000+14890900+10338500+5724000+115801100+56953200+6500000+18545450+9410000</f>
        <v>253183150</v>
      </c>
      <c r="L188" s="8">
        <f t="shared" si="20"/>
        <v>3471850</v>
      </c>
    </row>
    <row r="189" spans="1:13" ht="18.75" customHeight="1" x14ac:dyDescent="0.25">
      <c r="A189" s="59"/>
      <c r="B189" s="76" t="s">
        <v>145</v>
      </c>
      <c r="C189" s="69" t="s">
        <v>178</v>
      </c>
      <c r="D189" s="181">
        <f>3150000+260000+800000</f>
        <v>4210000</v>
      </c>
      <c r="E189" s="64" t="s">
        <v>178</v>
      </c>
      <c r="F189" s="182">
        <f>3150000+90000+800000</f>
        <v>4040000</v>
      </c>
      <c r="G189" s="64" t="s">
        <v>178</v>
      </c>
      <c r="H189" s="180">
        <f t="shared" si="19"/>
        <v>170000</v>
      </c>
      <c r="J189" s="57">
        <f>2850000+220000+2000000</f>
        <v>5070000</v>
      </c>
      <c r="K189" s="57">
        <f>2850000+140000+2000000</f>
        <v>4990000</v>
      </c>
      <c r="L189" s="8">
        <f t="shared" si="20"/>
        <v>80000</v>
      </c>
    </row>
    <row r="190" spans="1:13" ht="19.5" customHeight="1" x14ac:dyDescent="0.25">
      <c r="A190" s="59"/>
      <c r="B190" s="144"/>
      <c r="C190" s="69" t="s">
        <v>178</v>
      </c>
      <c r="D190" s="183">
        <f>SUM(D182:D189)</f>
        <v>512744738</v>
      </c>
      <c r="E190" s="64" t="s">
        <v>178</v>
      </c>
      <c r="F190" s="184">
        <f>SUM(F182:F189)</f>
        <v>457745054</v>
      </c>
      <c r="G190" s="64" t="s">
        <v>178</v>
      </c>
      <c r="H190" s="184">
        <f>SUM(H182:H189)</f>
        <v>54999684</v>
      </c>
      <c r="J190" s="10">
        <f>D180+D190</f>
        <v>1159937538</v>
      </c>
      <c r="K190" s="10">
        <f>F180+F190</f>
        <v>1035126704</v>
      </c>
      <c r="L190" s="4">
        <f>H180+H190</f>
        <v>124620834</v>
      </c>
    </row>
    <row r="191" spans="1:13" ht="9" customHeight="1" x14ac:dyDescent="0.25">
      <c r="A191" s="59"/>
      <c r="B191" s="144"/>
      <c r="C191" s="62"/>
      <c r="D191" s="151"/>
      <c r="E191" s="152"/>
      <c r="F191" s="153"/>
      <c r="G191" s="152"/>
      <c r="H191" s="153"/>
    </row>
    <row r="192" spans="1:13" ht="15.75" x14ac:dyDescent="0.25">
      <c r="A192" s="59"/>
      <c r="B192" s="66" t="s">
        <v>68</v>
      </c>
      <c r="C192" s="67"/>
      <c r="D192" s="132"/>
      <c r="E192" s="133"/>
      <c r="F192" s="134"/>
      <c r="G192" s="133"/>
      <c r="H192" s="134"/>
      <c r="L192" s="10"/>
    </row>
    <row r="193" spans="1:12" ht="15.75" x14ac:dyDescent="0.25">
      <c r="A193" s="59"/>
      <c r="B193" s="66" t="s">
        <v>85</v>
      </c>
      <c r="C193" s="67"/>
      <c r="D193" s="132">
        <v>0</v>
      </c>
      <c r="E193" s="133"/>
      <c r="F193" s="134">
        <v>0</v>
      </c>
      <c r="G193" s="133"/>
      <c r="H193" s="134">
        <f>D193-F193</f>
        <v>0</v>
      </c>
    </row>
    <row r="194" spans="1:12" ht="33.75" customHeight="1" x14ac:dyDescent="0.25">
      <c r="A194" s="59"/>
      <c r="B194" s="76" t="s">
        <v>160</v>
      </c>
      <c r="C194" s="69" t="s">
        <v>178</v>
      </c>
      <c r="D194" s="132">
        <f>9960000+8850000</f>
        <v>18810000</v>
      </c>
      <c r="E194" s="64" t="s">
        <v>178</v>
      </c>
      <c r="F194" s="134">
        <f>9960000+8850000</f>
        <v>18810000</v>
      </c>
      <c r="G194" s="64" t="s">
        <v>178</v>
      </c>
      <c r="H194" s="134">
        <f>D194-F194</f>
        <v>0</v>
      </c>
      <c r="J194" s="10">
        <f>8000000+7810000</f>
        <v>15810000</v>
      </c>
    </row>
    <row r="195" spans="1:12" ht="18.75" customHeight="1" x14ac:dyDescent="0.25">
      <c r="A195" s="59"/>
      <c r="B195" s="66" t="s">
        <v>86</v>
      </c>
      <c r="C195" s="69" t="s">
        <v>178</v>
      </c>
      <c r="D195" s="132">
        <v>0</v>
      </c>
      <c r="E195" s="64" t="s">
        <v>178</v>
      </c>
      <c r="F195" s="134">
        <v>0</v>
      </c>
      <c r="G195" s="64" t="s">
        <v>178</v>
      </c>
      <c r="H195" s="134">
        <f t="shared" ref="H195:H201" si="21">D195-F195</f>
        <v>0</v>
      </c>
    </row>
    <row r="196" spans="1:12" ht="29.25" customHeight="1" x14ac:dyDescent="0.25">
      <c r="A196" s="59"/>
      <c r="B196" s="76" t="s">
        <v>158</v>
      </c>
      <c r="C196" s="69" t="s">
        <v>178</v>
      </c>
      <c r="D196" s="132">
        <f>88637500+25481000</f>
        <v>114118500</v>
      </c>
      <c r="E196" s="64" t="s">
        <v>178</v>
      </c>
      <c r="F196" s="134">
        <f>76377950</f>
        <v>76377950</v>
      </c>
      <c r="G196" s="64" t="s">
        <v>178</v>
      </c>
      <c r="H196" s="134">
        <f t="shared" si="21"/>
        <v>37740550</v>
      </c>
      <c r="J196" s="10">
        <f>199968500+73089300+5236000</f>
        <v>278293800</v>
      </c>
    </row>
    <row r="197" spans="1:12" ht="20.25" customHeight="1" x14ac:dyDescent="0.25">
      <c r="A197" s="59"/>
      <c r="B197" s="66" t="s">
        <v>87</v>
      </c>
      <c r="C197" s="69" t="s">
        <v>178</v>
      </c>
      <c r="D197" s="132">
        <f>530037480+30986000</f>
        <v>561023480</v>
      </c>
      <c r="E197" s="64" t="s">
        <v>178</v>
      </c>
      <c r="F197" s="134">
        <f>293869950+28190130+12000000</f>
        <v>334060080</v>
      </c>
      <c r="G197" s="64" t="s">
        <v>178</v>
      </c>
      <c r="H197" s="134">
        <f t="shared" si="21"/>
        <v>226963400</v>
      </c>
      <c r="J197" s="10">
        <f>492978000+162251500+101329500+15448500+41136500</f>
        <v>813144000</v>
      </c>
    </row>
    <row r="198" spans="1:12" ht="16.5" customHeight="1" x14ac:dyDescent="0.25">
      <c r="A198" s="59"/>
      <c r="B198" s="66" t="s">
        <v>88</v>
      </c>
      <c r="C198" s="69" t="s">
        <v>178</v>
      </c>
      <c r="D198" s="132">
        <v>0</v>
      </c>
      <c r="E198" s="64" t="s">
        <v>178</v>
      </c>
      <c r="F198" s="134">
        <v>0</v>
      </c>
      <c r="G198" s="64" t="s">
        <v>178</v>
      </c>
      <c r="H198" s="134">
        <f t="shared" si="21"/>
        <v>0</v>
      </c>
    </row>
    <row r="199" spans="1:12" ht="47.25" x14ac:dyDescent="0.25">
      <c r="A199" s="59"/>
      <c r="B199" s="76" t="s">
        <v>221</v>
      </c>
      <c r="C199" s="69" t="s">
        <v>178</v>
      </c>
      <c r="D199" s="132">
        <v>0</v>
      </c>
      <c r="E199" s="64" t="s">
        <v>178</v>
      </c>
      <c r="F199" s="134">
        <v>0</v>
      </c>
      <c r="G199" s="64" t="s">
        <v>178</v>
      </c>
      <c r="H199" s="134">
        <f t="shared" si="21"/>
        <v>0</v>
      </c>
    </row>
    <row r="200" spans="1:12" ht="30.75" customHeight="1" x14ac:dyDescent="0.25">
      <c r="A200" s="59"/>
      <c r="B200" s="76" t="s">
        <v>89</v>
      </c>
      <c r="C200" s="69" t="s">
        <v>178</v>
      </c>
      <c r="D200" s="132">
        <f>22500000</f>
        <v>22500000</v>
      </c>
      <c r="E200" s="64" t="s">
        <v>178</v>
      </c>
      <c r="F200" s="134">
        <f>21721550</f>
        <v>21721550</v>
      </c>
      <c r="G200" s="64" t="s">
        <v>178</v>
      </c>
      <c r="H200" s="134">
        <f t="shared" si="21"/>
        <v>778450</v>
      </c>
    </row>
    <row r="201" spans="1:12" ht="21" customHeight="1" x14ac:dyDescent="0.25">
      <c r="A201" s="59"/>
      <c r="B201" s="66" t="s">
        <v>90</v>
      </c>
      <c r="C201" s="69" t="s">
        <v>178</v>
      </c>
      <c r="D201" s="154">
        <v>0</v>
      </c>
      <c r="E201" s="64" t="s">
        <v>178</v>
      </c>
      <c r="F201" s="155">
        <v>0</v>
      </c>
      <c r="G201" s="64" t="s">
        <v>178</v>
      </c>
      <c r="H201" s="134">
        <f t="shared" si="21"/>
        <v>0</v>
      </c>
      <c r="L201" s="4"/>
    </row>
    <row r="202" spans="1:12" ht="19.5" customHeight="1" x14ac:dyDescent="0.25">
      <c r="A202" s="59"/>
      <c r="B202" s="144"/>
      <c r="C202" s="69" t="s">
        <v>178</v>
      </c>
      <c r="D202" s="98">
        <f>SUM(D193:D201)</f>
        <v>716451980</v>
      </c>
      <c r="E202" s="64" t="s">
        <v>178</v>
      </c>
      <c r="F202" s="99">
        <f t="shared" ref="F202:H202" si="22">SUM(F193:F201)</f>
        <v>450969580</v>
      </c>
      <c r="G202" s="64" t="s">
        <v>178</v>
      </c>
      <c r="H202" s="99">
        <f t="shared" si="22"/>
        <v>265482400</v>
      </c>
      <c r="J202" s="10">
        <f>D202+J190</f>
        <v>1876389518</v>
      </c>
      <c r="K202" s="10">
        <f>F202+K190</f>
        <v>1486096284</v>
      </c>
      <c r="L202" s="10">
        <f>H202+L190</f>
        <v>390103234</v>
      </c>
    </row>
    <row r="203" spans="1:12" ht="6.75" customHeight="1" x14ac:dyDescent="0.25">
      <c r="A203" s="59"/>
      <c r="B203" s="60"/>
      <c r="C203" s="63"/>
      <c r="D203" s="61"/>
      <c r="E203" s="62"/>
      <c r="F203" s="63"/>
      <c r="G203" s="62"/>
      <c r="H203" s="63"/>
      <c r="L203" s="4"/>
    </row>
    <row r="204" spans="1:12" ht="15.75" x14ac:dyDescent="0.25">
      <c r="A204" s="59" t="s">
        <v>92</v>
      </c>
      <c r="B204" s="66" t="s">
        <v>91</v>
      </c>
      <c r="C204" s="67"/>
      <c r="D204" s="61"/>
      <c r="E204" s="62"/>
      <c r="F204" s="63"/>
      <c r="G204" s="62"/>
      <c r="H204" s="63"/>
      <c r="L204" s="4"/>
    </row>
    <row r="205" spans="1:12" ht="15.75" x14ac:dyDescent="0.25">
      <c r="A205" s="59"/>
      <c r="B205" s="60"/>
      <c r="C205" s="63"/>
      <c r="D205" s="81" t="s">
        <v>12</v>
      </c>
      <c r="E205" s="82"/>
      <c r="F205" s="82" t="s">
        <v>13</v>
      </c>
      <c r="G205" s="82"/>
      <c r="H205" s="82" t="s">
        <v>140</v>
      </c>
      <c r="J205" s="10">
        <f>J202-2283045200</f>
        <v>-406655682</v>
      </c>
      <c r="K205" s="10">
        <f>K202-2243812219</f>
        <v>-757715935</v>
      </c>
      <c r="L205" s="9">
        <f>L202-39232981</f>
        <v>350870253</v>
      </c>
    </row>
    <row r="206" spans="1:12" ht="31.5" x14ac:dyDescent="0.25">
      <c r="A206" s="59"/>
      <c r="B206" s="76" t="s">
        <v>93</v>
      </c>
      <c r="C206" s="77"/>
      <c r="D206" s="61"/>
      <c r="E206" s="62"/>
      <c r="F206" s="63"/>
      <c r="G206" s="62"/>
      <c r="H206" s="63"/>
    </row>
    <row r="207" spans="1:12" ht="78.75" x14ac:dyDescent="0.25">
      <c r="A207" s="59"/>
      <c r="B207" s="76" t="s">
        <v>94</v>
      </c>
      <c r="C207" s="69" t="s">
        <v>178</v>
      </c>
      <c r="D207" s="61">
        <v>701757940</v>
      </c>
      <c r="E207" s="64" t="s">
        <v>178</v>
      </c>
      <c r="F207" s="63">
        <v>693574779</v>
      </c>
      <c r="G207" s="64" t="s">
        <v>178</v>
      </c>
      <c r="H207" s="63">
        <f>D207-F207</f>
        <v>8183161</v>
      </c>
    </row>
    <row r="208" spans="1:12" ht="47.25" x14ac:dyDescent="0.25">
      <c r="A208" s="59"/>
      <c r="B208" s="76" t="s">
        <v>95</v>
      </c>
      <c r="C208" s="69" t="s">
        <v>178</v>
      </c>
      <c r="D208" s="61">
        <v>13402000</v>
      </c>
      <c r="E208" s="64" t="s">
        <v>178</v>
      </c>
      <c r="F208" s="63">
        <v>13354000</v>
      </c>
      <c r="G208" s="64" t="s">
        <v>178</v>
      </c>
      <c r="H208" s="63">
        <f>D208-F208</f>
        <v>48000</v>
      </c>
    </row>
    <row r="209" spans="1:11" ht="63" x14ac:dyDescent="0.25">
      <c r="A209" s="59"/>
      <c r="B209" s="76" t="s">
        <v>96</v>
      </c>
      <c r="C209" s="69" t="s">
        <v>178</v>
      </c>
      <c r="D209" s="61">
        <v>17646200</v>
      </c>
      <c r="E209" s="64" t="s">
        <v>178</v>
      </c>
      <c r="F209" s="63">
        <v>17066000</v>
      </c>
      <c r="G209" s="64" t="s">
        <v>178</v>
      </c>
      <c r="H209" s="63">
        <f t="shared" ref="H209:H211" si="23">D209-F209</f>
        <v>580200</v>
      </c>
    </row>
    <row r="210" spans="1:11" ht="49.5" customHeight="1" x14ac:dyDescent="0.25">
      <c r="A210" s="59"/>
      <c r="B210" s="76" t="s">
        <v>97</v>
      </c>
      <c r="C210" s="69" t="s">
        <v>178</v>
      </c>
      <c r="D210" s="61">
        <v>79747716</v>
      </c>
      <c r="E210" s="64" t="s">
        <v>178</v>
      </c>
      <c r="F210" s="63">
        <v>76829050</v>
      </c>
      <c r="G210" s="64" t="s">
        <v>178</v>
      </c>
      <c r="H210" s="63">
        <f t="shared" si="23"/>
        <v>2918666</v>
      </c>
    </row>
    <row r="211" spans="1:11" ht="23.25" customHeight="1" x14ac:dyDescent="0.25">
      <c r="A211" s="59"/>
      <c r="B211" s="76" t="s">
        <v>98</v>
      </c>
      <c r="C211" s="69" t="s">
        <v>178</v>
      </c>
      <c r="D211" s="61">
        <v>57705000</v>
      </c>
      <c r="E211" s="64" t="s">
        <v>178</v>
      </c>
      <c r="F211" s="63">
        <v>55588074</v>
      </c>
      <c r="G211" s="64" t="s">
        <v>178</v>
      </c>
      <c r="H211" s="63">
        <f t="shared" si="23"/>
        <v>2116926</v>
      </c>
    </row>
    <row r="212" spans="1:11" ht="25.5" customHeight="1" x14ac:dyDescent="0.25">
      <c r="A212" s="59"/>
      <c r="B212" s="144"/>
      <c r="C212" s="69" t="s">
        <v>178</v>
      </c>
      <c r="D212" s="98">
        <f>SUM(D207:D211)</f>
        <v>870258856</v>
      </c>
      <c r="E212" s="64" t="s">
        <v>178</v>
      </c>
      <c r="F212" s="99">
        <f>SUM(F207:F211)</f>
        <v>856411903</v>
      </c>
      <c r="G212" s="64" t="s">
        <v>178</v>
      </c>
      <c r="H212" s="99">
        <f>SUM(H207:H211)</f>
        <v>13846953</v>
      </c>
      <c r="K212" s="10">
        <f>D212-995762680</f>
        <v>-125503824</v>
      </c>
    </row>
    <row r="213" spans="1:11" ht="25.5" customHeight="1" x14ac:dyDescent="0.25">
      <c r="A213" s="59"/>
      <c r="B213" s="144"/>
      <c r="C213" s="69"/>
      <c r="D213" s="106"/>
      <c r="E213" s="64"/>
      <c r="F213" s="107"/>
      <c r="G213" s="64"/>
      <c r="H213" s="107"/>
    </row>
    <row r="214" spans="1:11" ht="25.5" customHeight="1" x14ac:dyDescent="0.25">
      <c r="A214" s="59"/>
      <c r="B214" s="144"/>
      <c r="C214" s="185"/>
      <c r="D214" s="106"/>
      <c r="E214" s="64"/>
      <c r="F214" s="107"/>
      <c r="G214" s="64"/>
      <c r="H214" s="107"/>
    </row>
    <row r="215" spans="1:11" ht="25.5" customHeight="1" x14ac:dyDescent="0.25">
      <c r="A215" s="59"/>
      <c r="B215" s="144"/>
      <c r="C215" s="185"/>
      <c r="D215" s="106"/>
      <c r="E215" s="64"/>
      <c r="F215" s="107"/>
      <c r="G215" s="64"/>
      <c r="H215" s="107"/>
    </row>
    <row r="216" spans="1:11" ht="25.5" customHeight="1" x14ac:dyDescent="0.25">
      <c r="A216" s="59"/>
      <c r="B216" s="144"/>
      <c r="C216" s="185"/>
      <c r="D216" s="106"/>
      <c r="E216" s="64"/>
      <c r="F216" s="107"/>
      <c r="G216" s="64"/>
      <c r="H216" s="107"/>
    </row>
    <row r="217" spans="1:11" ht="25.5" customHeight="1" x14ac:dyDescent="0.25">
      <c r="A217" s="59"/>
      <c r="B217" s="144"/>
      <c r="C217" s="69"/>
      <c r="D217" s="106"/>
      <c r="E217" s="64"/>
      <c r="F217" s="107"/>
      <c r="G217" s="64"/>
      <c r="H217" s="107"/>
    </row>
    <row r="218" spans="1:11" ht="15.75" customHeight="1" x14ac:dyDescent="0.25">
      <c r="A218" s="59"/>
      <c r="B218" s="60"/>
      <c r="C218" s="63"/>
      <c r="D218" s="61"/>
      <c r="E218" s="62"/>
      <c r="F218" s="63"/>
      <c r="G218" s="62"/>
      <c r="H218" s="63"/>
    </row>
    <row r="219" spans="1:11" ht="15.75" x14ac:dyDescent="0.25">
      <c r="A219" s="59"/>
      <c r="B219" s="66" t="s">
        <v>99</v>
      </c>
      <c r="C219" s="67"/>
      <c r="D219" s="125"/>
      <c r="E219" s="62"/>
      <c r="F219" s="67"/>
      <c r="G219" s="62"/>
      <c r="H219" s="67"/>
      <c r="I219" s="2"/>
    </row>
    <row r="220" spans="1:11" ht="23.25" customHeight="1" x14ac:dyDescent="0.25">
      <c r="A220" s="59"/>
      <c r="B220" s="66" t="s">
        <v>100</v>
      </c>
      <c r="C220" s="69" t="s">
        <v>178</v>
      </c>
      <c r="D220" s="125">
        <v>105845500</v>
      </c>
      <c r="E220" s="64" t="s">
        <v>178</v>
      </c>
      <c r="F220" s="67">
        <v>88291950</v>
      </c>
      <c r="G220" s="64" t="s">
        <v>178</v>
      </c>
      <c r="H220" s="67">
        <f>D220-F220</f>
        <v>17553550</v>
      </c>
      <c r="I220" s="2"/>
    </row>
    <row r="221" spans="1:11" ht="21.75" customHeight="1" x14ac:dyDescent="0.25">
      <c r="A221" s="59"/>
      <c r="B221" s="66" t="s">
        <v>101</v>
      </c>
      <c r="C221" s="69" t="s">
        <v>178</v>
      </c>
      <c r="D221" s="125">
        <v>85768400</v>
      </c>
      <c r="E221" s="64" t="s">
        <v>178</v>
      </c>
      <c r="F221" s="67">
        <v>81591750</v>
      </c>
      <c r="G221" s="64" t="s">
        <v>178</v>
      </c>
      <c r="H221" s="67">
        <f t="shared" ref="H221:H227" si="24">D221-F221</f>
        <v>4176650</v>
      </c>
      <c r="I221" s="2"/>
    </row>
    <row r="222" spans="1:11" ht="33.75" customHeight="1" x14ac:dyDescent="0.25">
      <c r="A222" s="59"/>
      <c r="B222" s="76" t="s">
        <v>102</v>
      </c>
      <c r="C222" s="69" t="s">
        <v>178</v>
      </c>
      <c r="D222" s="125">
        <v>588646942</v>
      </c>
      <c r="E222" s="64" t="s">
        <v>178</v>
      </c>
      <c r="F222" s="67">
        <v>322944830</v>
      </c>
      <c r="G222" s="64" t="s">
        <v>178</v>
      </c>
      <c r="H222" s="67">
        <f t="shared" si="24"/>
        <v>265702112</v>
      </c>
      <c r="I222" s="2"/>
    </row>
    <row r="223" spans="1:11" ht="30" customHeight="1" x14ac:dyDescent="0.25">
      <c r="A223" s="59"/>
      <c r="B223" s="76" t="s">
        <v>103</v>
      </c>
      <c r="C223" s="69" t="s">
        <v>178</v>
      </c>
      <c r="D223" s="125">
        <v>118805000</v>
      </c>
      <c r="E223" s="64" t="s">
        <v>178</v>
      </c>
      <c r="F223" s="67">
        <v>102662070</v>
      </c>
      <c r="G223" s="64" t="s">
        <v>178</v>
      </c>
      <c r="H223" s="67">
        <f t="shared" si="24"/>
        <v>16142930</v>
      </c>
      <c r="I223" s="2"/>
    </row>
    <row r="224" spans="1:11" ht="31.5" customHeight="1" x14ac:dyDescent="0.25">
      <c r="A224" s="59"/>
      <c r="B224" s="76" t="s">
        <v>104</v>
      </c>
      <c r="C224" s="69" t="s">
        <v>178</v>
      </c>
      <c r="D224" s="125"/>
      <c r="E224" s="64" t="s">
        <v>178</v>
      </c>
      <c r="F224" s="67"/>
      <c r="G224" s="64" t="s">
        <v>178</v>
      </c>
      <c r="H224" s="67">
        <f t="shared" si="24"/>
        <v>0</v>
      </c>
      <c r="I224" s="2"/>
    </row>
    <row r="225" spans="1:9" ht="33" customHeight="1" x14ac:dyDescent="0.25">
      <c r="A225" s="59"/>
      <c r="B225" s="76" t="s">
        <v>105</v>
      </c>
      <c r="C225" s="69" t="s">
        <v>178</v>
      </c>
      <c r="D225" s="61">
        <v>2250000</v>
      </c>
      <c r="E225" s="64" t="s">
        <v>178</v>
      </c>
      <c r="F225" s="63">
        <v>1824000</v>
      </c>
      <c r="G225" s="64" t="s">
        <v>178</v>
      </c>
      <c r="H225" s="67">
        <f t="shared" si="24"/>
        <v>426000</v>
      </c>
    </row>
    <row r="226" spans="1:9" ht="34.5" customHeight="1" x14ac:dyDescent="0.25">
      <c r="A226" s="59"/>
      <c r="B226" s="76" t="s">
        <v>106</v>
      </c>
      <c r="C226" s="69" t="s">
        <v>178</v>
      </c>
      <c r="D226" s="125">
        <v>0</v>
      </c>
      <c r="E226" s="64" t="s">
        <v>178</v>
      </c>
      <c r="F226" s="67">
        <v>0</v>
      </c>
      <c r="G226" s="64" t="s">
        <v>178</v>
      </c>
      <c r="H226" s="67">
        <f t="shared" si="24"/>
        <v>0</v>
      </c>
    </row>
    <row r="227" spans="1:9" ht="24" customHeight="1" x14ac:dyDescent="0.25">
      <c r="A227" s="59"/>
      <c r="B227" s="66" t="s">
        <v>107</v>
      </c>
      <c r="C227" s="69" t="s">
        <v>178</v>
      </c>
      <c r="D227" s="125">
        <v>0</v>
      </c>
      <c r="E227" s="64" t="s">
        <v>178</v>
      </c>
      <c r="F227" s="67">
        <v>0</v>
      </c>
      <c r="G227" s="64" t="s">
        <v>178</v>
      </c>
      <c r="H227" s="67">
        <f t="shared" si="24"/>
        <v>0</v>
      </c>
    </row>
    <row r="228" spans="1:9" ht="25.5" customHeight="1" x14ac:dyDescent="0.25">
      <c r="A228" s="59"/>
      <c r="B228" s="60"/>
      <c r="C228" s="69" t="s">
        <v>178</v>
      </c>
      <c r="D228" s="98">
        <f>SUM(D220:D227)</f>
        <v>901315842</v>
      </c>
      <c r="E228" s="64" t="s">
        <v>178</v>
      </c>
      <c r="F228" s="99">
        <f>SUM(F220:F227)</f>
        <v>597314600</v>
      </c>
      <c r="G228" s="64" t="s">
        <v>178</v>
      </c>
      <c r="H228" s="99">
        <f>SUM(H220:H227)</f>
        <v>304001242</v>
      </c>
    </row>
    <row r="229" spans="1:9" ht="7.5" customHeight="1" x14ac:dyDescent="0.25">
      <c r="A229" s="59"/>
      <c r="B229" s="60"/>
      <c r="C229" s="63"/>
      <c r="D229" s="156"/>
      <c r="E229" s="72"/>
      <c r="F229" s="75"/>
      <c r="G229" s="72"/>
      <c r="H229" s="75"/>
    </row>
    <row r="230" spans="1:9" ht="31.5" x14ac:dyDescent="0.25">
      <c r="A230" s="59"/>
      <c r="B230" s="76" t="s">
        <v>108</v>
      </c>
      <c r="C230" s="77"/>
      <c r="D230" s="61"/>
      <c r="E230" s="62"/>
      <c r="F230" s="63"/>
      <c r="G230" s="62"/>
      <c r="H230" s="63"/>
    </row>
    <row r="231" spans="1:9" ht="47.25" x14ac:dyDescent="0.25">
      <c r="A231" s="59"/>
      <c r="B231" s="76" t="s">
        <v>109</v>
      </c>
      <c r="C231" s="69" t="s">
        <v>178</v>
      </c>
      <c r="D231" s="61">
        <v>2070000</v>
      </c>
      <c r="E231" s="64" t="s">
        <v>178</v>
      </c>
      <c r="F231" s="63">
        <v>2070000</v>
      </c>
      <c r="G231" s="64" t="s">
        <v>178</v>
      </c>
      <c r="H231" s="63">
        <f>D231-F231</f>
        <v>0</v>
      </c>
    </row>
    <row r="232" spans="1:9" ht="31.5" customHeight="1" x14ac:dyDescent="0.25">
      <c r="A232" s="59"/>
      <c r="B232" s="76" t="s">
        <v>110</v>
      </c>
      <c r="C232" s="69" t="s">
        <v>178</v>
      </c>
      <c r="D232" s="125">
        <v>6910000</v>
      </c>
      <c r="E232" s="64" t="s">
        <v>178</v>
      </c>
      <c r="F232" s="67">
        <v>375000</v>
      </c>
      <c r="G232" s="64" t="s">
        <v>178</v>
      </c>
      <c r="H232" s="63">
        <f t="shared" ref="H232:H234" si="25">D232-F232</f>
        <v>6535000</v>
      </c>
      <c r="I232" s="2"/>
    </row>
    <row r="233" spans="1:9" ht="35.25" customHeight="1" x14ac:dyDescent="0.25">
      <c r="A233" s="59"/>
      <c r="B233" s="76" t="s">
        <v>111</v>
      </c>
      <c r="C233" s="69" t="s">
        <v>178</v>
      </c>
      <c r="D233" s="125">
        <v>2792500</v>
      </c>
      <c r="E233" s="64" t="s">
        <v>178</v>
      </c>
      <c r="F233" s="67">
        <v>2763250</v>
      </c>
      <c r="G233" s="64" t="s">
        <v>178</v>
      </c>
      <c r="H233" s="63">
        <f t="shared" si="25"/>
        <v>29250</v>
      </c>
      <c r="I233" s="2"/>
    </row>
    <row r="234" spans="1:9" ht="30" customHeight="1" x14ac:dyDescent="0.25">
      <c r="A234" s="59"/>
      <c r="B234" s="76" t="s">
        <v>112</v>
      </c>
      <c r="C234" s="69" t="s">
        <v>178</v>
      </c>
      <c r="D234" s="125">
        <v>15272520</v>
      </c>
      <c r="E234" s="64" t="s">
        <v>178</v>
      </c>
      <c r="F234" s="67">
        <v>14041000</v>
      </c>
      <c r="G234" s="64" t="s">
        <v>178</v>
      </c>
      <c r="H234" s="63">
        <f t="shared" si="25"/>
        <v>1231520</v>
      </c>
      <c r="I234" s="3"/>
    </row>
    <row r="235" spans="1:9" ht="25.5" customHeight="1" x14ac:dyDescent="0.25">
      <c r="A235" s="59"/>
      <c r="B235" s="66"/>
      <c r="C235" s="69" t="s">
        <v>178</v>
      </c>
      <c r="D235" s="128">
        <f>SUM(D231:D234)</f>
        <v>27045020</v>
      </c>
      <c r="E235" s="64" t="s">
        <v>178</v>
      </c>
      <c r="F235" s="129">
        <f t="shared" ref="F235:H235" si="26">SUM(F231:F234)</f>
        <v>19249250</v>
      </c>
      <c r="G235" s="64" t="s">
        <v>178</v>
      </c>
      <c r="H235" s="129">
        <f t="shared" si="26"/>
        <v>7795770</v>
      </c>
      <c r="I235" s="2"/>
    </row>
    <row r="236" spans="1:9" ht="12.75" customHeight="1" x14ac:dyDescent="0.25">
      <c r="A236" s="59"/>
      <c r="B236" s="66"/>
      <c r="C236" s="67"/>
      <c r="D236" s="157"/>
      <c r="E236" s="158"/>
      <c r="F236" s="159"/>
      <c r="G236" s="158"/>
      <c r="H236" s="159"/>
      <c r="I236" s="2"/>
    </row>
    <row r="237" spans="1:9" ht="15.75" x14ac:dyDescent="0.25">
      <c r="A237" s="59"/>
      <c r="B237" s="66" t="s">
        <v>113</v>
      </c>
      <c r="C237" s="67"/>
      <c r="D237" s="125"/>
      <c r="E237" s="62"/>
      <c r="F237" s="67"/>
      <c r="G237" s="62"/>
      <c r="H237" s="67"/>
      <c r="I237" s="2"/>
    </row>
    <row r="238" spans="1:9" ht="30.75" customHeight="1" x14ac:dyDescent="0.25">
      <c r="A238" s="59"/>
      <c r="B238" s="76" t="s">
        <v>114</v>
      </c>
      <c r="C238" s="69" t="s">
        <v>178</v>
      </c>
      <c r="D238" s="125">
        <v>0</v>
      </c>
      <c r="E238" s="64" t="s">
        <v>178</v>
      </c>
      <c r="F238" s="67">
        <v>0</v>
      </c>
      <c r="G238" s="64" t="s">
        <v>178</v>
      </c>
      <c r="H238" s="67">
        <f>D238-F238</f>
        <v>0</v>
      </c>
      <c r="I238" s="2"/>
    </row>
    <row r="239" spans="1:9" ht="33.75" customHeight="1" x14ac:dyDescent="0.25">
      <c r="A239" s="59"/>
      <c r="B239" s="76" t="s">
        <v>115</v>
      </c>
      <c r="C239" s="69" t="s">
        <v>178</v>
      </c>
      <c r="D239" s="125">
        <v>5177500</v>
      </c>
      <c r="E239" s="64" t="s">
        <v>178</v>
      </c>
      <c r="F239" s="67">
        <v>5042500</v>
      </c>
      <c r="G239" s="64" t="s">
        <v>178</v>
      </c>
      <c r="H239" s="67">
        <f t="shared" ref="H239:H244" si="27">D239-F239</f>
        <v>135000</v>
      </c>
      <c r="I239" s="2"/>
    </row>
    <row r="240" spans="1:9" ht="33" customHeight="1" x14ac:dyDescent="0.25">
      <c r="A240" s="59"/>
      <c r="B240" s="76" t="s">
        <v>116</v>
      </c>
      <c r="C240" s="69" t="s">
        <v>178</v>
      </c>
      <c r="D240" s="125">
        <v>900000</v>
      </c>
      <c r="E240" s="64" t="s">
        <v>178</v>
      </c>
      <c r="F240" s="67">
        <v>900000</v>
      </c>
      <c r="G240" s="64" t="s">
        <v>178</v>
      </c>
      <c r="H240" s="67">
        <f t="shared" si="27"/>
        <v>0</v>
      </c>
      <c r="I240" s="2"/>
    </row>
    <row r="241" spans="1:9" ht="44.25" customHeight="1" x14ac:dyDescent="0.25">
      <c r="A241" s="59"/>
      <c r="B241" s="76" t="s">
        <v>117</v>
      </c>
      <c r="C241" s="69" t="s">
        <v>178</v>
      </c>
      <c r="D241" s="125">
        <v>24400000</v>
      </c>
      <c r="E241" s="64" t="s">
        <v>178</v>
      </c>
      <c r="F241" s="67">
        <v>24400000</v>
      </c>
      <c r="G241" s="64" t="s">
        <v>178</v>
      </c>
      <c r="H241" s="67">
        <f t="shared" si="27"/>
        <v>0</v>
      </c>
      <c r="I241" s="2"/>
    </row>
    <row r="242" spans="1:9" ht="47.25" x14ac:dyDescent="0.25">
      <c r="A242" s="59"/>
      <c r="B242" s="76" t="s">
        <v>118</v>
      </c>
      <c r="C242" s="69" t="s">
        <v>178</v>
      </c>
      <c r="D242" s="125">
        <v>2920000</v>
      </c>
      <c r="E242" s="64" t="s">
        <v>178</v>
      </c>
      <c r="F242" s="67">
        <v>2920000</v>
      </c>
      <c r="G242" s="64" t="s">
        <v>178</v>
      </c>
      <c r="H242" s="67">
        <f t="shared" si="27"/>
        <v>0</v>
      </c>
      <c r="I242" s="2"/>
    </row>
    <row r="243" spans="1:9" ht="33.75" customHeight="1" x14ac:dyDescent="0.25">
      <c r="A243" s="59"/>
      <c r="B243" s="76" t="s">
        <v>119</v>
      </c>
      <c r="C243" s="69" t="s">
        <v>178</v>
      </c>
      <c r="D243" s="125">
        <v>2504800</v>
      </c>
      <c r="E243" s="64" t="s">
        <v>178</v>
      </c>
      <c r="F243" s="67">
        <v>2504750</v>
      </c>
      <c r="G243" s="64" t="s">
        <v>178</v>
      </c>
      <c r="H243" s="67">
        <f t="shared" si="27"/>
        <v>50</v>
      </c>
      <c r="I243" s="2"/>
    </row>
    <row r="244" spans="1:9" ht="32.25" customHeight="1" x14ac:dyDescent="0.25">
      <c r="A244" s="59"/>
      <c r="B244" s="76" t="s">
        <v>120</v>
      </c>
      <c r="C244" s="69" t="s">
        <v>178</v>
      </c>
      <c r="D244" s="125"/>
      <c r="E244" s="64" t="s">
        <v>178</v>
      </c>
      <c r="F244" s="67"/>
      <c r="G244" s="64" t="s">
        <v>178</v>
      </c>
      <c r="H244" s="67">
        <f t="shared" si="27"/>
        <v>0</v>
      </c>
      <c r="I244" s="3"/>
    </row>
    <row r="245" spans="1:9" ht="25.5" customHeight="1" x14ac:dyDescent="0.25">
      <c r="A245" s="59"/>
      <c r="B245" s="66"/>
      <c r="C245" s="69" t="s">
        <v>178</v>
      </c>
      <c r="D245" s="128">
        <f>SUM(D238:D244)</f>
        <v>35902300</v>
      </c>
      <c r="E245" s="64" t="s">
        <v>178</v>
      </c>
      <c r="F245" s="129">
        <f t="shared" ref="F245:H245" si="28">SUM(F238:F244)</f>
        <v>35767250</v>
      </c>
      <c r="G245" s="64" t="s">
        <v>178</v>
      </c>
      <c r="H245" s="129">
        <f t="shared" si="28"/>
        <v>135050</v>
      </c>
      <c r="I245" s="2"/>
    </row>
    <row r="246" spans="1:9" ht="8.25" customHeight="1" x14ac:dyDescent="0.25">
      <c r="A246" s="59"/>
      <c r="B246" s="66"/>
      <c r="C246" s="67"/>
      <c r="D246" s="160"/>
      <c r="E246" s="74"/>
      <c r="F246" s="161"/>
      <c r="G246" s="74"/>
      <c r="H246" s="161"/>
      <c r="I246" s="2"/>
    </row>
    <row r="247" spans="1:9" ht="18" customHeight="1" x14ac:dyDescent="0.25">
      <c r="A247" s="59"/>
      <c r="B247" s="504" t="s">
        <v>74</v>
      </c>
      <c r="C247" s="504"/>
      <c r="D247" s="504"/>
      <c r="E247" s="504"/>
      <c r="F247" s="504"/>
      <c r="G247" s="504"/>
      <c r="H247" s="504"/>
      <c r="I247" s="2"/>
    </row>
    <row r="248" spans="1:9" ht="15.75" x14ac:dyDescent="0.25">
      <c r="A248" s="59"/>
      <c r="B248" s="76"/>
      <c r="C248" s="77"/>
      <c r="D248" s="81" t="s">
        <v>12</v>
      </c>
      <c r="E248" s="82"/>
      <c r="F248" s="82" t="s">
        <v>13</v>
      </c>
      <c r="G248" s="82"/>
      <c r="H248" s="82" t="s">
        <v>140</v>
      </c>
      <c r="I248" s="2"/>
    </row>
    <row r="249" spans="1:9" ht="28.5" customHeight="1" x14ac:dyDescent="0.25">
      <c r="A249" s="59"/>
      <c r="B249" s="76" t="s">
        <v>121</v>
      </c>
      <c r="C249" s="69" t="s">
        <v>178</v>
      </c>
      <c r="D249" s="125">
        <v>56202500</v>
      </c>
      <c r="E249" s="64" t="s">
        <v>178</v>
      </c>
      <c r="F249" s="67">
        <v>43111750</v>
      </c>
      <c r="G249" s="64" t="s">
        <v>178</v>
      </c>
      <c r="H249" s="67">
        <f>D249-F249</f>
        <v>13090750</v>
      </c>
      <c r="I249" s="2"/>
    </row>
    <row r="250" spans="1:9" ht="32.25" customHeight="1" x14ac:dyDescent="0.25">
      <c r="A250" s="59"/>
      <c r="B250" s="76" t="s">
        <v>122</v>
      </c>
      <c r="C250" s="69" t="s">
        <v>178</v>
      </c>
      <c r="D250" s="125">
        <v>5000000</v>
      </c>
      <c r="E250" s="64" t="s">
        <v>178</v>
      </c>
      <c r="F250" s="67">
        <v>0</v>
      </c>
      <c r="G250" s="64" t="s">
        <v>178</v>
      </c>
      <c r="H250" s="67">
        <f t="shared" ref="H250:H251" si="29">D250-F250</f>
        <v>5000000</v>
      </c>
      <c r="I250" s="2"/>
    </row>
    <row r="251" spans="1:9" ht="30" customHeight="1" x14ac:dyDescent="0.25">
      <c r="A251" s="59"/>
      <c r="B251" s="76" t="s">
        <v>123</v>
      </c>
      <c r="C251" s="69" t="s">
        <v>178</v>
      </c>
      <c r="D251" s="125">
        <v>214200000</v>
      </c>
      <c r="E251" s="64" t="s">
        <v>178</v>
      </c>
      <c r="F251" s="67">
        <v>212400000</v>
      </c>
      <c r="G251" s="64" t="s">
        <v>178</v>
      </c>
      <c r="H251" s="67">
        <f t="shared" si="29"/>
        <v>1800000</v>
      </c>
      <c r="I251" s="3"/>
    </row>
    <row r="252" spans="1:9" ht="21.75" customHeight="1" x14ac:dyDescent="0.25">
      <c r="A252" s="59"/>
      <c r="B252" s="66"/>
      <c r="C252" s="69" t="s">
        <v>178</v>
      </c>
      <c r="D252" s="128">
        <f>SUM(D249:D251)</f>
        <v>275402500</v>
      </c>
      <c r="E252" s="64" t="s">
        <v>178</v>
      </c>
      <c r="F252" s="129">
        <f t="shared" ref="F252:H252" si="30">SUM(F249:F251)</f>
        <v>255511750</v>
      </c>
      <c r="G252" s="64" t="s">
        <v>178</v>
      </c>
      <c r="H252" s="129">
        <f t="shared" si="30"/>
        <v>19890750</v>
      </c>
      <c r="I252" s="2"/>
    </row>
    <row r="253" spans="1:9" ht="15.75" x14ac:dyDescent="0.25">
      <c r="A253" s="59" t="s">
        <v>125</v>
      </c>
      <c r="B253" s="66" t="s">
        <v>124</v>
      </c>
      <c r="C253" s="67"/>
      <c r="D253" s="125"/>
      <c r="E253" s="62"/>
      <c r="F253" s="67"/>
      <c r="G253" s="62"/>
      <c r="H253" s="67"/>
      <c r="I253" s="2"/>
    </row>
    <row r="254" spans="1:9" ht="15.75" x14ac:dyDescent="0.25">
      <c r="A254" s="59"/>
      <c r="B254" s="66" t="s">
        <v>227</v>
      </c>
      <c r="C254" s="67"/>
      <c r="D254" s="125"/>
      <c r="E254" s="62"/>
      <c r="F254" s="67"/>
      <c r="G254" s="62"/>
      <c r="H254" s="67"/>
      <c r="I254" s="2"/>
    </row>
    <row r="255" spans="1:9" ht="15.75" x14ac:dyDescent="0.25">
      <c r="A255" s="59"/>
      <c r="B255" s="60"/>
      <c r="C255" s="63"/>
      <c r="D255" s="81" t="s">
        <v>12</v>
      </c>
      <c r="E255" s="82"/>
      <c r="F255" s="82" t="s">
        <v>13</v>
      </c>
      <c r="G255" s="82"/>
      <c r="H255" s="82" t="s">
        <v>140</v>
      </c>
    </row>
    <row r="256" spans="1:9" ht="23.25" customHeight="1" x14ac:dyDescent="0.25">
      <c r="A256" s="59"/>
      <c r="B256" s="66" t="s">
        <v>23</v>
      </c>
      <c r="C256" s="69" t="s">
        <v>178</v>
      </c>
      <c r="D256" s="125">
        <v>44436318</v>
      </c>
      <c r="E256" s="64" t="s">
        <v>178</v>
      </c>
      <c r="F256" s="125">
        <v>44436318</v>
      </c>
      <c r="G256" s="64" t="s">
        <v>178</v>
      </c>
      <c r="H256" s="67">
        <f>D256-F256</f>
        <v>0</v>
      </c>
    </row>
    <row r="257" spans="1:8" ht="22.5" customHeight="1" x14ac:dyDescent="0.25">
      <c r="A257" s="59"/>
      <c r="B257" s="66" t="s">
        <v>24</v>
      </c>
      <c r="C257" s="69" t="s">
        <v>178</v>
      </c>
      <c r="D257" s="125">
        <v>0</v>
      </c>
      <c r="E257" s="64" t="s">
        <v>178</v>
      </c>
      <c r="F257" s="125">
        <v>0</v>
      </c>
      <c r="G257" s="64" t="s">
        <v>178</v>
      </c>
      <c r="H257" s="67">
        <f t="shared" ref="H257:H258" si="31">D257-F257</f>
        <v>0</v>
      </c>
    </row>
    <row r="258" spans="1:8" ht="25.5" customHeight="1" x14ac:dyDescent="0.25">
      <c r="A258" s="59"/>
      <c r="B258" s="60"/>
      <c r="C258" s="69" t="s">
        <v>178</v>
      </c>
      <c r="D258" s="98">
        <f>D256-D257</f>
        <v>44436318</v>
      </c>
      <c r="E258" s="64" t="s">
        <v>178</v>
      </c>
      <c r="F258" s="99">
        <f>F256-F257</f>
        <v>44436318</v>
      </c>
      <c r="G258" s="64" t="s">
        <v>178</v>
      </c>
      <c r="H258" s="129">
        <f t="shared" si="31"/>
        <v>0</v>
      </c>
    </row>
    <row r="259" spans="1:8" ht="25.5" customHeight="1" x14ac:dyDescent="0.25">
      <c r="A259" s="59"/>
      <c r="B259" s="60"/>
      <c r="C259" s="69"/>
      <c r="D259" s="106"/>
      <c r="E259" s="64"/>
      <c r="F259" s="107"/>
      <c r="G259" s="64"/>
      <c r="H259" s="131"/>
    </row>
    <row r="260" spans="1:8" ht="25.5" customHeight="1" x14ac:dyDescent="0.25">
      <c r="A260" s="59"/>
      <c r="B260" s="60"/>
      <c r="C260" s="69"/>
      <c r="D260" s="106"/>
      <c r="E260" s="64"/>
      <c r="F260" s="107"/>
      <c r="G260" s="64"/>
      <c r="H260" s="131"/>
    </row>
    <row r="261" spans="1:8" ht="25.5" customHeight="1" x14ac:dyDescent="0.25">
      <c r="A261" s="59"/>
      <c r="B261" s="60"/>
      <c r="C261" s="69"/>
      <c r="D261" s="106"/>
      <c r="E261" s="64"/>
      <c r="F261" s="107"/>
      <c r="G261" s="64"/>
      <c r="H261" s="131"/>
    </row>
    <row r="262" spans="1:8" ht="25.5" customHeight="1" x14ac:dyDescent="0.25">
      <c r="A262" s="59"/>
      <c r="B262" s="60"/>
      <c r="C262" s="185"/>
      <c r="D262" s="106"/>
      <c r="E262" s="64"/>
      <c r="F262" s="107"/>
      <c r="G262" s="64"/>
      <c r="H262" s="131"/>
    </row>
    <row r="263" spans="1:8" ht="25.5" customHeight="1" x14ac:dyDescent="0.25">
      <c r="A263" s="59"/>
      <c r="B263" s="60"/>
      <c r="C263" s="185"/>
      <c r="D263" s="106"/>
      <c r="E263" s="64"/>
      <c r="F263" s="107"/>
      <c r="G263" s="64"/>
      <c r="H263" s="131"/>
    </row>
    <row r="264" spans="1:8" ht="25.5" customHeight="1" x14ac:dyDescent="0.25">
      <c r="A264" s="59"/>
      <c r="B264" s="60"/>
      <c r="C264" s="185"/>
      <c r="D264" s="106"/>
      <c r="E264" s="64"/>
      <c r="F264" s="107"/>
      <c r="G264" s="64"/>
      <c r="H264" s="131"/>
    </row>
    <row r="265" spans="1:8" ht="25.5" customHeight="1" x14ac:dyDescent="0.25">
      <c r="A265" s="59"/>
      <c r="B265" s="60"/>
      <c r="C265" s="69"/>
      <c r="D265" s="106"/>
      <c r="E265" s="64"/>
      <c r="F265" s="107"/>
      <c r="G265" s="64"/>
      <c r="H265" s="131"/>
    </row>
    <row r="266" spans="1:8" ht="25.5" customHeight="1" x14ac:dyDescent="0.25">
      <c r="A266" s="59"/>
      <c r="B266" s="60"/>
      <c r="C266" s="69"/>
      <c r="D266" s="106"/>
      <c r="E266" s="64"/>
      <c r="F266" s="107"/>
      <c r="G266" s="64"/>
      <c r="H266" s="131"/>
    </row>
    <row r="267" spans="1:8" ht="22.5" customHeight="1" x14ac:dyDescent="0.25">
      <c r="A267" s="59"/>
      <c r="B267" s="60"/>
      <c r="C267" s="63"/>
      <c r="D267" s="61"/>
      <c r="E267" s="62"/>
      <c r="F267" s="63"/>
      <c r="G267" s="62"/>
      <c r="H267" s="63"/>
    </row>
    <row r="268" spans="1:8" ht="15.75" x14ac:dyDescent="0.25">
      <c r="A268" s="59"/>
      <c r="B268" s="66" t="s">
        <v>126</v>
      </c>
      <c r="C268" s="67"/>
      <c r="D268" s="125"/>
      <c r="E268" s="62"/>
      <c r="F268" s="67"/>
      <c r="G268" s="62"/>
      <c r="H268" s="67"/>
    </row>
    <row r="269" spans="1:8" ht="34.5" customHeight="1" x14ac:dyDescent="0.25">
      <c r="A269" s="59"/>
      <c r="B269" s="76" t="s">
        <v>152</v>
      </c>
      <c r="C269" s="69" t="s">
        <v>178</v>
      </c>
      <c r="D269" s="125">
        <v>44436318</v>
      </c>
      <c r="E269" s="64" t="s">
        <v>178</v>
      </c>
      <c r="F269" s="125">
        <v>44436318</v>
      </c>
      <c r="G269" s="64" t="s">
        <v>178</v>
      </c>
      <c r="H269" s="67">
        <f>D269-F269</f>
        <v>0</v>
      </c>
    </row>
    <row r="270" spans="1:8" ht="26.25" customHeight="1" x14ac:dyDescent="0.25">
      <c r="A270" s="59"/>
      <c r="B270" s="76" t="s">
        <v>153</v>
      </c>
      <c r="C270" s="69" t="s">
        <v>178</v>
      </c>
      <c r="D270" s="125">
        <v>0</v>
      </c>
      <c r="E270" s="64" t="s">
        <v>178</v>
      </c>
      <c r="F270" s="125">
        <v>0</v>
      </c>
      <c r="G270" s="64" t="s">
        <v>178</v>
      </c>
      <c r="H270" s="67">
        <f t="shared" ref="H270:H271" si="32">D270-F270</f>
        <v>0</v>
      </c>
    </row>
    <row r="271" spans="1:8" ht="47.25" x14ac:dyDescent="0.25">
      <c r="A271" s="59"/>
      <c r="B271" s="76" t="s">
        <v>127</v>
      </c>
      <c r="C271" s="69" t="s">
        <v>178</v>
      </c>
      <c r="D271" s="125">
        <v>0</v>
      </c>
      <c r="E271" s="64" t="s">
        <v>178</v>
      </c>
      <c r="F271" s="67">
        <v>0</v>
      </c>
      <c r="G271" s="64" t="s">
        <v>178</v>
      </c>
      <c r="H271" s="67">
        <f t="shared" si="32"/>
        <v>0</v>
      </c>
    </row>
    <row r="272" spans="1:8" ht="24" customHeight="1" x14ac:dyDescent="0.25">
      <c r="A272" s="59"/>
      <c r="B272" s="60"/>
      <c r="C272" s="69" t="s">
        <v>178</v>
      </c>
      <c r="D272" s="98">
        <f>SUM(D269:D271)</f>
        <v>44436318</v>
      </c>
      <c r="E272" s="64" t="s">
        <v>178</v>
      </c>
      <c r="F272" s="99">
        <f t="shared" ref="F272:H272" si="33">SUM(F269:F271)</f>
        <v>44436318</v>
      </c>
      <c r="G272" s="64" t="s">
        <v>178</v>
      </c>
      <c r="H272" s="99">
        <f t="shared" si="33"/>
        <v>0</v>
      </c>
    </row>
    <row r="273" spans="1:11" ht="15.75" x14ac:dyDescent="0.25">
      <c r="A273" s="59"/>
      <c r="B273" s="66" t="s">
        <v>128</v>
      </c>
      <c r="C273" s="67"/>
      <c r="D273" s="125"/>
      <c r="E273" s="62"/>
      <c r="F273" s="67"/>
      <c r="G273" s="62"/>
      <c r="H273" s="67"/>
      <c r="I273" s="2"/>
    </row>
    <row r="274" spans="1:11" ht="30" customHeight="1" x14ac:dyDescent="0.25">
      <c r="A274" s="59"/>
      <c r="B274" s="76" t="s">
        <v>154</v>
      </c>
      <c r="C274" s="69" t="s">
        <v>178</v>
      </c>
      <c r="D274" s="125">
        <v>0</v>
      </c>
      <c r="E274" s="64" t="s">
        <v>178</v>
      </c>
      <c r="F274" s="67">
        <v>0</v>
      </c>
      <c r="G274" s="64" t="s">
        <v>178</v>
      </c>
      <c r="H274" s="67">
        <f>D274-F274</f>
        <v>0</v>
      </c>
      <c r="I274" s="2"/>
    </row>
    <row r="275" spans="1:11" ht="21" customHeight="1" x14ac:dyDescent="0.25">
      <c r="A275" s="59"/>
      <c r="B275" s="66" t="s">
        <v>155</v>
      </c>
      <c r="C275" s="69" t="s">
        <v>178</v>
      </c>
      <c r="D275" s="125">
        <v>0</v>
      </c>
      <c r="E275" s="64" t="s">
        <v>178</v>
      </c>
      <c r="F275" s="67">
        <v>0</v>
      </c>
      <c r="G275" s="64" t="s">
        <v>178</v>
      </c>
      <c r="H275" s="67">
        <f>D275-F275</f>
        <v>0</v>
      </c>
      <c r="I275" s="3"/>
    </row>
    <row r="276" spans="1:11" ht="24" customHeight="1" x14ac:dyDescent="0.25">
      <c r="A276" s="59"/>
      <c r="B276" s="60"/>
      <c r="C276" s="69" t="s">
        <v>178</v>
      </c>
      <c r="D276" s="98">
        <f>SUM(D274:D275)</f>
        <v>0</v>
      </c>
      <c r="E276" s="64" t="s">
        <v>178</v>
      </c>
      <c r="F276" s="99">
        <f t="shared" ref="F276:H276" si="34">SUM(F274:F275)</f>
        <v>0</v>
      </c>
      <c r="G276" s="64" t="s">
        <v>178</v>
      </c>
      <c r="H276" s="99">
        <f t="shared" si="34"/>
        <v>0</v>
      </c>
    </row>
    <row r="277" spans="1:11" ht="9.75" customHeight="1" x14ac:dyDescent="0.25">
      <c r="A277" s="59"/>
      <c r="B277" s="60"/>
      <c r="C277" s="63"/>
      <c r="D277" s="61"/>
      <c r="E277" s="62"/>
      <c r="F277" s="63"/>
      <c r="G277" s="62"/>
      <c r="H277" s="63"/>
    </row>
    <row r="278" spans="1:11" ht="15.75" x14ac:dyDescent="0.25">
      <c r="A278" s="59" t="s">
        <v>135</v>
      </c>
      <c r="B278" s="66" t="s">
        <v>136</v>
      </c>
      <c r="C278" s="67"/>
      <c r="D278" s="61"/>
      <c r="E278" s="62"/>
      <c r="F278" s="63"/>
      <c r="G278" s="62"/>
      <c r="H278" s="63"/>
    </row>
    <row r="279" spans="1:11" ht="15.75" x14ac:dyDescent="0.25">
      <c r="A279" s="59"/>
      <c r="B279" s="66" t="s">
        <v>129</v>
      </c>
      <c r="C279" s="67"/>
      <c r="D279" s="61"/>
      <c r="E279" s="62"/>
      <c r="F279" s="63"/>
      <c r="G279" s="62"/>
      <c r="H279" s="63"/>
    </row>
    <row r="280" spans="1:11" ht="35.25" customHeight="1" x14ac:dyDescent="0.25">
      <c r="A280" s="59"/>
      <c r="B280" s="66"/>
      <c r="C280" s="67"/>
      <c r="D280" s="188" t="s">
        <v>222</v>
      </c>
      <c r="E280" s="189"/>
      <c r="F280" s="189" t="s">
        <v>223</v>
      </c>
      <c r="G280" s="121"/>
      <c r="H280" s="162" t="s">
        <v>157</v>
      </c>
    </row>
    <row r="281" spans="1:11" ht="21" customHeight="1" x14ac:dyDescent="0.25">
      <c r="A281" s="59"/>
      <c r="B281" s="66" t="s">
        <v>130</v>
      </c>
      <c r="C281" s="69" t="s">
        <v>178</v>
      </c>
      <c r="D281" s="125">
        <v>0</v>
      </c>
      <c r="E281" s="64" t="s">
        <v>178</v>
      </c>
      <c r="F281" s="67">
        <v>0</v>
      </c>
      <c r="G281" s="64" t="s">
        <v>178</v>
      </c>
      <c r="H281" s="163">
        <f>F281-D281</f>
        <v>0</v>
      </c>
    </row>
    <row r="282" spans="1:11" ht="22.5" customHeight="1" x14ac:dyDescent="0.25">
      <c r="A282" s="59"/>
      <c r="B282" s="66" t="s">
        <v>131</v>
      </c>
      <c r="C282" s="69" t="s">
        <v>178</v>
      </c>
      <c r="D282" s="125">
        <v>185719050</v>
      </c>
      <c r="E282" s="64" t="s">
        <v>178</v>
      </c>
      <c r="F282" s="163">
        <v>230095990</v>
      </c>
      <c r="G282" s="64" t="s">
        <v>178</v>
      </c>
      <c r="H282" s="163">
        <f>F282-D282</f>
        <v>44376940</v>
      </c>
      <c r="J282" s="10">
        <f>D282+6000000</f>
        <v>191719050</v>
      </c>
    </row>
    <row r="283" spans="1:11" ht="20.25" customHeight="1" x14ac:dyDescent="0.25">
      <c r="A283" s="59"/>
      <c r="B283" s="66" t="s">
        <v>132</v>
      </c>
      <c r="C283" s="69" t="s">
        <v>178</v>
      </c>
      <c r="D283" s="125">
        <v>970757350</v>
      </c>
      <c r="E283" s="64" t="s">
        <v>178</v>
      </c>
      <c r="F283" s="163">
        <v>999613050</v>
      </c>
      <c r="G283" s="64" t="s">
        <v>178</v>
      </c>
      <c r="H283" s="163">
        <f t="shared" ref="H283:H286" si="35">F283-D283</f>
        <v>28855700</v>
      </c>
      <c r="J283" s="10">
        <v>211776000</v>
      </c>
      <c r="K283" s="10">
        <f>D283+J283</f>
        <v>1182533350</v>
      </c>
    </row>
    <row r="284" spans="1:11" ht="24.75" customHeight="1" x14ac:dyDescent="0.25">
      <c r="A284" s="59"/>
      <c r="B284" s="66" t="s">
        <v>133</v>
      </c>
      <c r="C284" s="69" t="s">
        <v>178</v>
      </c>
      <c r="D284" s="125">
        <v>2004363990</v>
      </c>
      <c r="E284" s="64" t="s">
        <v>178</v>
      </c>
      <c r="F284" s="163">
        <v>2369276270</v>
      </c>
      <c r="G284" s="64" t="s">
        <v>178</v>
      </c>
      <c r="H284" s="163">
        <f t="shared" si="35"/>
        <v>364912280</v>
      </c>
      <c r="J284" s="10">
        <f>D284+625995000</f>
        <v>2630358990</v>
      </c>
    </row>
    <row r="285" spans="1:11" ht="30.75" customHeight="1" x14ac:dyDescent="0.25">
      <c r="A285" s="59"/>
      <c r="B285" s="76" t="s">
        <v>193</v>
      </c>
      <c r="C285" s="69" t="s">
        <v>178</v>
      </c>
      <c r="D285" s="125">
        <v>0</v>
      </c>
      <c r="E285" s="64" t="s">
        <v>178</v>
      </c>
      <c r="F285" s="163">
        <v>47877800</v>
      </c>
      <c r="G285" s="64" t="s">
        <v>178</v>
      </c>
      <c r="H285" s="163">
        <v>0</v>
      </c>
    </row>
    <row r="286" spans="1:11" ht="38.25" customHeight="1" x14ac:dyDescent="0.25">
      <c r="A286" s="59"/>
      <c r="B286" s="76" t="s">
        <v>134</v>
      </c>
      <c r="C286" s="69" t="s">
        <v>178</v>
      </c>
      <c r="D286" s="125"/>
      <c r="E286" s="64" t="s">
        <v>178</v>
      </c>
      <c r="F286" s="163">
        <v>0</v>
      </c>
      <c r="G286" s="64" t="s">
        <v>178</v>
      </c>
      <c r="H286" s="163">
        <f t="shared" si="35"/>
        <v>0</v>
      </c>
      <c r="I286" s="1"/>
    </row>
    <row r="287" spans="1:11" ht="18.75" customHeight="1" x14ac:dyDescent="0.25">
      <c r="A287" s="59"/>
      <c r="B287" s="66"/>
      <c r="C287" s="69" t="s">
        <v>178</v>
      </c>
      <c r="D287" s="128">
        <f>SUM(D281:D286)</f>
        <v>3160840390</v>
      </c>
      <c r="E287" s="64" t="s">
        <v>178</v>
      </c>
      <c r="F287" s="164">
        <f>SUM(F281:F286)</f>
        <v>3646863110</v>
      </c>
      <c r="G287" s="64" t="s">
        <v>178</v>
      </c>
      <c r="H287" s="164">
        <f>SUM(H281:H286)</f>
        <v>438144920</v>
      </c>
      <c r="I287" s="1"/>
      <c r="K287" s="10">
        <f>ASET!A108</f>
        <v>88</v>
      </c>
    </row>
    <row r="288" spans="1:11" ht="15.75" customHeight="1" x14ac:dyDescent="0.25">
      <c r="A288" s="59"/>
      <c r="B288" s="66"/>
      <c r="C288" s="67"/>
      <c r="D288" s="165"/>
      <c r="E288" s="166"/>
      <c r="F288" s="167"/>
      <c r="G288" s="166"/>
      <c r="H288" s="167"/>
      <c r="I288" s="1"/>
    </row>
    <row r="289" spans="1:11" ht="69" customHeight="1" x14ac:dyDescent="0.25">
      <c r="A289" s="59"/>
      <c r="B289" s="505" t="s">
        <v>1035</v>
      </c>
      <c r="C289" s="505"/>
      <c r="D289" s="505"/>
      <c r="E289" s="505"/>
      <c r="F289" s="505"/>
      <c r="G289" s="505"/>
      <c r="H289" s="505"/>
      <c r="I289" s="1"/>
      <c r="K289" s="10">
        <f>ASET!H209-CALK!F287</f>
        <v>0</v>
      </c>
    </row>
    <row r="290" spans="1:11" ht="5.25" customHeight="1" x14ac:dyDescent="0.25">
      <c r="A290" s="59"/>
      <c r="B290" s="66"/>
      <c r="C290" s="67"/>
      <c r="D290" s="165"/>
      <c r="E290" s="166"/>
      <c r="F290" s="167"/>
      <c r="G290" s="166"/>
      <c r="H290" s="167"/>
      <c r="I290" s="1"/>
    </row>
    <row r="291" spans="1:11" ht="15.75" x14ac:dyDescent="0.25">
      <c r="A291" s="59"/>
      <c r="B291" s="66" t="s">
        <v>159</v>
      </c>
      <c r="C291" s="67"/>
      <c r="D291" s="168"/>
      <c r="E291" s="74"/>
      <c r="F291" s="73"/>
      <c r="G291" s="74"/>
      <c r="H291" s="73"/>
    </row>
    <row r="292" spans="1:11" ht="5.25" customHeight="1" x14ac:dyDescent="0.25">
      <c r="A292" s="59"/>
      <c r="B292" s="66"/>
      <c r="C292" s="67"/>
      <c r="D292" s="61"/>
      <c r="E292" s="62"/>
      <c r="F292" s="63"/>
      <c r="G292" s="62"/>
      <c r="H292" s="63"/>
    </row>
    <row r="293" spans="1:11" ht="15.75" x14ac:dyDescent="0.25">
      <c r="A293" s="59" t="s">
        <v>138</v>
      </c>
      <c r="B293" s="66" t="s">
        <v>137</v>
      </c>
      <c r="C293" s="67"/>
      <c r="D293" s="61"/>
      <c r="E293" s="62"/>
      <c r="F293" s="63"/>
      <c r="G293" s="62"/>
      <c r="H293" s="63"/>
    </row>
    <row r="294" spans="1:11" ht="15.75" x14ac:dyDescent="0.25">
      <c r="A294" s="59"/>
      <c r="B294" s="66" t="s">
        <v>191</v>
      </c>
      <c r="C294" s="67"/>
      <c r="D294" s="61"/>
      <c r="E294" s="62"/>
      <c r="F294" s="63"/>
      <c r="G294" s="62"/>
      <c r="H294" s="63"/>
    </row>
    <row r="295" spans="1:11" ht="28.5" customHeight="1" x14ac:dyDescent="0.25">
      <c r="A295" s="59"/>
      <c r="B295" s="169"/>
      <c r="C295" s="170"/>
      <c r="D295" s="188" t="s">
        <v>222</v>
      </c>
      <c r="E295" s="189"/>
      <c r="F295" s="189" t="s">
        <v>223</v>
      </c>
      <c r="G295" s="121"/>
      <c r="H295" s="162" t="s">
        <v>157</v>
      </c>
    </row>
    <row r="296" spans="1:11" ht="22.5" customHeight="1" x14ac:dyDescent="0.25">
      <c r="A296" s="59"/>
      <c r="B296" s="66" t="s">
        <v>185</v>
      </c>
      <c r="C296" s="69" t="s">
        <v>178</v>
      </c>
      <c r="D296" s="125">
        <v>130000000</v>
      </c>
      <c r="E296" s="64" t="s">
        <v>178</v>
      </c>
      <c r="F296" s="67">
        <v>130000000</v>
      </c>
      <c r="G296" s="64" t="s">
        <v>178</v>
      </c>
      <c r="H296" s="67">
        <f>F296-D296</f>
        <v>0</v>
      </c>
      <c r="J296" s="10">
        <v>30000000</v>
      </c>
      <c r="K296" s="10">
        <f>D296+30000000</f>
        <v>160000000</v>
      </c>
    </row>
    <row r="297" spans="1:11" ht="19.5" customHeight="1" x14ac:dyDescent="0.25">
      <c r="A297" s="59"/>
      <c r="B297" s="171"/>
      <c r="C297" s="69" t="s">
        <v>178</v>
      </c>
      <c r="D297" s="128">
        <f>SUM(D296)</f>
        <v>130000000</v>
      </c>
      <c r="E297" s="64" t="s">
        <v>178</v>
      </c>
      <c r="F297" s="129">
        <f t="shared" ref="F297:H297" si="36">SUM(F296)</f>
        <v>130000000</v>
      </c>
      <c r="G297" s="64" t="s">
        <v>178</v>
      </c>
      <c r="H297" s="129">
        <f t="shared" si="36"/>
        <v>0</v>
      </c>
    </row>
    <row r="298" spans="1:11" ht="8.25" customHeight="1" x14ac:dyDescent="0.25"/>
    <row r="299" spans="1:11" ht="15.75" x14ac:dyDescent="0.25">
      <c r="A299" s="187" t="s">
        <v>194</v>
      </c>
      <c r="B299" s="66" t="s">
        <v>195</v>
      </c>
      <c r="C299" s="67"/>
      <c r="D299" s="61"/>
      <c r="E299" s="62"/>
      <c r="F299" s="63"/>
      <c r="G299" s="62"/>
      <c r="H299" s="63"/>
    </row>
    <row r="300" spans="1:11" ht="15.75" x14ac:dyDescent="0.25">
      <c r="A300" s="59"/>
      <c r="B300" s="66" t="s">
        <v>196</v>
      </c>
      <c r="C300" s="67"/>
      <c r="D300" s="61"/>
      <c r="E300" s="62"/>
      <c r="F300" s="63"/>
      <c r="G300" s="62"/>
      <c r="H300" s="63"/>
    </row>
    <row r="301" spans="1:11" ht="33.75" customHeight="1" x14ac:dyDescent="0.25">
      <c r="A301" s="59"/>
      <c r="B301" s="169"/>
      <c r="C301" s="170"/>
      <c r="D301" s="188" t="s">
        <v>222</v>
      </c>
      <c r="E301" s="189"/>
      <c r="F301" s="189" t="s">
        <v>223</v>
      </c>
      <c r="G301" s="121"/>
      <c r="H301" s="162" t="s">
        <v>157</v>
      </c>
    </row>
    <row r="302" spans="1:11" ht="22.5" customHeight="1" x14ac:dyDescent="0.25">
      <c r="A302" s="59"/>
      <c r="B302" s="66"/>
      <c r="C302" s="186" t="s">
        <v>178</v>
      </c>
      <c r="D302" s="125">
        <v>0</v>
      </c>
      <c r="E302" s="64" t="s">
        <v>178</v>
      </c>
      <c r="F302" s="67">
        <v>0</v>
      </c>
      <c r="G302" s="64" t="s">
        <v>178</v>
      </c>
      <c r="H302" s="67">
        <f>F302-D302</f>
        <v>0</v>
      </c>
      <c r="J302" s="10">
        <v>30000000</v>
      </c>
      <c r="K302" s="10">
        <f>D302+30000000</f>
        <v>30000000</v>
      </c>
    </row>
    <row r="303" spans="1:11" ht="19.5" customHeight="1" x14ac:dyDescent="0.25">
      <c r="A303" s="59"/>
      <c r="B303" s="171"/>
      <c r="C303" s="186" t="s">
        <v>178</v>
      </c>
      <c r="D303" s="128">
        <f>SUM(D302)</f>
        <v>0</v>
      </c>
      <c r="E303" s="64" t="s">
        <v>178</v>
      </c>
      <c r="F303" s="129">
        <f t="shared" ref="F303" si="37">SUM(F302)</f>
        <v>0</v>
      </c>
      <c r="G303" s="64" t="s">
        <v>178</v>
      </c>
      <c r="H303" s="129">
        <f t="shared" ref="H303" si="38">SUM(H302)</f>
        <v>0</v>
      </c>
    </row>
    <row r="304" spans="1:11" ht="19.5" customHeight="1" x14ac:dyDescent="0.25">
      <c r="A304" s="59"/>
      <c r="B304" s="171"/>
      <c r="C304" s="186"/>
      <c r="D304" s="130"/>
      <c r="E304" s="64"/>
      <c r="F304" s="131"/>
      <c r="G304" s="64"/>
      <c r="H304" s="131"/>
    </row>
    <row r="305" spans="4:8" ht="15.75" x14ac:dyDescent="0.25">
      <c r="D305" s="503" t="s">
        <v>1036</v>
      </c>
      <c r="E305" s="503"/>
      <c r="F305" s="503"/>
      <c r="G305" s="503"/>
      <c r="H305" s="503"/>
    </row>
    <row r="306" spans="4:8" ht="15.75" x14ac:dyDescent="0.25">
      <c r="D306" s="503" t="s">
        <v>224</v>
      </c>
      <c r="E306" s="503"/>
      <c r="F306" s="503"/>
      <c r="G306" s="503"/>
      <c r="H306" s="503"/>
    </row>
    <row r="307" spans="4:8" ht="15.75" x14ac:dyDescent="0.25">
      <c r="D307" s="173"/>
      <c r="E307" s="133"/>
      <c r="F307" s="174"/>
      <c r="G307" s="133"/>
      <c r="H307" s="174"/>
    </row>
    <row r="308" spans="4:8" ht="15.75" x14ac:dyDescent="0.25">
      <c r="D308" s="173"/>
      <c r="E308" s="133"/>
      <c r="F308" s="174"/>
      <c r="G308" s="133"/>
      <c r="H308" s="174"/>
    </row>
    <row r="309" spans="4:8" ht="15.75" x14ac:dyDescent="0.25">
      <c r="D309" s="173"/>
      <c r="E309" s="133"/>
      <c r="F309" s="174"/>
      <c r="G309" s="133"/>
      <c r="H309" s="174"/>
    </row>
    <row r="310" spans="4:8" ht="15.75" x14ac:dyDescent="0.25">
      <c r="D310" s="503" t="s">
        <v>184</v>
      </c>
      <c r="E310" s="503"/>
      <c r="F310" s="503"/>
      <c r="G310" s="503"/>
      <c r="H310" s="503"/>
    </row>
  </sheetData>
  <mergeCells count="22">
    <mergeCell ref="B11:H11"/>
    <mergeCell ref="B132:H132"/>
    <mergeCell ref="B133:H133"/>
    <mergeCell ref="A1:H1"/>
    <mergeCell ref="A2:H2"/>
    <mergeCell ref="A3:H3"/>
    <mergeCell ref="A4:H4"/>
    <mergeCell ref="B7:H7"/>
    <mergeCell ref="B14:H14"/>
    <mergeCell ref="B40:H40"/>
    <mergeCell ref="B67:H67"/>
    <mergeCell ref="B95:H95"/>
    <mergeCell ref="B129:H129"/>
    <mergeCell ref="B128:H128"/>
    <mergeCell ref="B36:H36"/>
    <mergeCell ref="B37:H37"/>
    <mergeCell ref="D305:H305"/>
    <mergeCell ref="D306:H306"/>
    <mergeCell ref="D310:H310"/>
    <mergeCell ref="B247:H247"/>
    <mergeCell ref="B162:H162"/>
    <mergeCell ref="B289:H289"/>
  </mergeCells>
  <pageMargins left="0.70866141732283472" right="0.39370078740157483" top="0.74803149606299213" bottom="1.0629921259842521" header="0.31496062992125984" footer="0.31496062992125984"/>
  <pageSetup paperSize="5" scale="70"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5"/>
  <sheetViews>
    <sheetView topLeftCell="A691" zoomScale="61" zoomScaleNormal="61" workbookViewId="0">
      <selection activeCell="S700" sqref="S700"/>
    </sheetView>
  </sheetViews>
  <sheetFormatPr defaultRowHeight="15" x14ac:dyDescent="0.25"/>
  <cols>
    <col min="1" max="1" width="4.85546875" style="14" customWidth="1"/>
    <col min="2" max="2" width="11" style="14" customWidth="1"/>
    <col min="3" max="3" width="11.140625" style="14" customWidth="1"/>
    <col min="4" max="4" width="3" style="14" customWidth="1"/>
    <col min="5" max="5" width="46" style="14" customWidth="1"/>
    <col min="6" max="6" width="28.28515625" style="308" customWidth="1"/>
    <col min="7" max="7" width="10.85546875" style="14" customWidth="1"/>
    <col min="8" max="8" width="11.140625" style="14" customWidth="1"/>
    <col min="9" max="9" width="19.5703125" style="207" customWidth="1"/>
    <col min="10" max="11" width="15.5703125" style="14" hidden="1" customWidth="1"/>
    <col min="12" max="12" width="9.85546875" style="14" customWidth="1"/>
    <col min="13" max="13" width="8.7109375" style="14" customWidth="1"/>
    <col min="14" max="14" width="20.28515625" style="14" customWidth="1"/>
    <col min="15" max="15" width="0.140625" style="14" hidden="1" customWidth="1"/>
    <col min="16" max="16" width="11.7109375" style="14" customWidth="1"/>
    <col min="17" max="17" width="17.85546875" style="14" customWidth="1"/>
    <col min="18" max="18" width="17.140625" style="14" customWidth="1"/>
    <col min="19" max="19" width="16.85546875" style="14" customWidth="1"/>
    <col min="20" max="20" width="15.42578125" style="14" customWidth="1"/>
    <col min="21" max="21" width="17.7109375" style="14" customWidth="1"/>
    <col min="22" max="22" width="7" style="14" customWidth="1"/>
    <col min="23" max="23" width="12" style="279" bestFit="1" customWidth="1"/>
    <col min="24" max="24" width="19.7109375" customWidth="1"/>
  </cols>
  <sheetData>
    <row r="1" spans="1:23" s="14" customFormat="1" x14ac:dyDescent="0.25">
      <c r="F1" s="308"/>
      <c r="I1" s="207"/>
      <c r="J1" s="14" t="s">
        <v>638</v>
      </c>
      <c r="Q1" s="14" t="s">
        <v>638</v>
      </c>
      <c r="W1" s="278"/>
    </row>
    <row r="2" spans="1:23" s="14" customFormat="1" x14ac:dyDescent="0.25">
      <c r="F2" s="308"/>
      <c r="I2" s="207"/>
      <c r="J2" s="14" t="s">
        <v>636</v>
      </c>
      <c r="Q2" s="14" t="s">
        <v>636</v>
      </c>
      <c r="W2" s="278"/>
    </row>
    <row r="3" spans="1:23" s="14" customFormat="1" x14ac:dyDescent="0.25">
      <c r="F3" s="308"/>
      <c r="I3" s="207"/>
      <c r="J3" s="14" t="s">
        <v>229</v>
      </c>
      <c r="Q3" s="14" t="s">
        <v>229</v>
      </c>
      <c r="W3" s="278"/>
    </row>
    <row r="4" spans="1:23" s="14" customFormat="1" x14ac:dyDescent="0.25">
      <c r="F4" s="308"/>
      <c r="I4" s="207"/>
      <c r="J4" s="14" t="s">
        <v>637</v>
      </c>
      <c r="Q4" s="14" t="s">
        <v>637</v>
      </c>
      <c r="W4" s="278"/>
    </row>
    <row r="5" spans="1:23" s="14" customFormat="1" x14ac:dyDescent="0.25">
      <c r="F5" s="308"/>
      <c r="I5" s="207"/>
      <c r="J5" s="14" t="s">
        <v>197</v>
      </c>
      <c r="Q5" s="14" t="s">
        <v>197</v>
      </c>
      <c r="W5" s="278"/>
    </row>
    <row r="6" spans="1:23" s="14" customFormat="1" x14ac:dyDescent="0.25">
      <c r="F6" s="308"/>
      <c r="I6" s="207"/>
      <c r="W6" s="278"/>
    </row>
    <row r="7" spans="1:23" x14ac:dyDescent="0.25">
      <c r="A7" s="513" t="s">
        <v>639</v>
      </c>
      <c r="B7" s="513"/>
      <c r="C7" s="513"/>
      <c r="D7" s="513"/>
      <c r="E7" s="513"/>
      <c r="F7" s="513"/>
      <c r="G7" s="513"/>
      <c r="H7" s="513"/>
      <c r="I7" s="513"/>
      <c r="J7" s="513"/>
      <c r="K7" s="513"/>
      <c r="L7" s="513"/>
      <c r="M7" s="513"/>
      <c r="N7" s="513"/>
      <c r="O7" s="513"/>
      <c r="P7" s="513"/>
      <c r="Q7" s="513"/>
      <c r="R7" s="513"/>
      <c r="S7" s="513"/>
      <c r="T7" s="513"/>
      <c r="U7" s="513"/>
      <c r="V7" s="513"/>
    </row>
    <row r="8" spans="1:23" x14ac:dyDescent="0.25">
      <c r="A8" s="513" t="s">
        <v>640</v>
      </c>
      <c r="B8" s="513"/>
      <c r="C8" s="513"/>
      <c r="D8" s="513"/>
      <c r="E8" s="513"/>
      <c r="F8" s="513"/>
      <c r="G8" s="513"/>
      <c r="H8" s="513"/>
      <c r="I8" s="513"/>
      <c r="J8" s="513"/>
      <c r="K8" s="513"/>
      <c r="L8" s="513"/>
      <c r="M8" s="513"/>
      <c r="N8" s="513"/>
      <c r="O8" s="513"/>
      <c r="P8" s="513"/>
      <c r="Q8" s="513"/>
      <c r="R8" s="513"/>
      <c r="S8" s="513"/>
      <c r="T8" s="513"/>
      <c r="U8" s="513"/>
      <c r="V8" s="513"/>
    </row>
    <row r="9" spans="1:23" x14ac:dyDescent="0.25">
      <c r="A9" s="513" t="s">
        <v>197</v>
      </c>
      <c r="B9" s="513"/>
      <c r="C9" s="513"/>
      <c r="D9" s="513"/>
      <c r="E9" s="513"/>
      <c r="F9" s="513"/>
      <c r="G9" s="513"/>
      <c r="H9" s="513"/>
      <c r="I9" s="513"/>
      <c r="J9" s="513"/>
      <c r="K9" s="513"/>
      <c r="L9" s="513"/>
      <c r="M9" s="513"/>
      <c r="N9" s="513"/>
      <c r="O9" s="513"/>
      <c r="P9" s="513"/>
      <c r="Q9" s="513"/>
      <c r="R9" s="513"/>
      <c r="S9" s="513"/>
      <c r="T9" s="513"/>
      <c r="U9" s="513"/>
      <c r="V9" s="513"/>
    </row>
    <row r="10" spans="1:23" x14ac:dyDescent="0.25">
      <c r="A10" s="239" t="s">
        <v>641</v>
      </c>
      <c r="B10" s="268"/>
      <c r="C10" s="268"/>
      <c r="D10" s="239" t="s">
        <v>645</v>
      </c>
      <c r="E10" s="239" t="s">
        <v>646</v>
      </c>
      <c r="F10" s="309"/>
      <c r="G10" s="239"/>
      <c r="H10" s="239"/>
      <c r="I10" s="268"/>
      <c r="J10" s="268"/>
      <c r="K10" s="268"/>
      <c r="L10" s="268"/>
      <c r="M10" s="268"/>
      <c r="N10" s="268"/>
      <c r="O10" s="268"/>
      <c r="P10" s="268"/>
      <c r="Q10" s="268"/>
      <c r="R10" s="268"/>
      <c r="S10" s="268"/>
      <c r="T10" s="268"/>
      <c r="U10" s="268"/>
      <c r="V10" s="268"/>
    </row>
    <row r="11" spans="1:23" x14ac:dyDescent="0.25">
      <c r="A11" s="239" t="s">
        <v>642</v>
      </c>
      <c r="B11" s="268"/>
      <c r="C11" s="268"/>
      <c r="D11" s="239" t="s">
        <v>645</v>
      </c>
      <c r="E11" s="239" t="s">
        <v>647</v>
      </c>
      <c r="F11" s="309"/>
      <c r="G11" s="239"/>
      <c r="H11" s="239"/>
      <c r="I11" s="268"/>
      <c r="J11" s="268"/>
      <c r="K11" s="268"/>
      <c r="L11" s="268"/>
      <c r="M11" s="268"/>
      <c r="N11" s="268"/>
      <c r="O11" s="268"/>
      <c r="P11" s="268"/>
      <c r="Q11" s="268"/>
      <c r="R11" s="268"/>
      <c r="S11" s="268"/>
      <c r="T11" s="268"/>
      <c r="U11" s="268"/>
      <c r="V11" s="268"/>
    </row>
    <row r="12" spans="1:23" x14ac:dyDescent="0.25">
      <c r="A12" s="239" t="s">
        <v>643</v>
      </c>
      <c r="B12" s="268"/>
      <c r="C12" s="268"/>
      <c r="D12" s="239" t="s">
        <v>645</v>
      </c>
      <c r="E12" s="239" t="s">
        <v>648</v>
      </c>
      <c r="F12" s="309"/>
      <c r="G12" s="239"/>
      <c r="H12" s="239"/>
      <c r="I12" s="268"/>
      <c r="J12" s="268"/>
      <c r="K12" s="268"/>
      <c r="L12" s="268"/>
      <c r="M12" s="268"/>
      <c r="N12" s="268"/>
      <c r="O12" s="268"/>
      <c r="P12" s="268"/>
      <c r="Q12" s="268"/>
      <c r="R12" s="268"/>
      <c r="S12" s="268"/>
      <c r="T12" s="268"/>
      <c r="U12" s="268"/>
      <c r="V12" s="268"/>
    </row>
    <row r="13" spans="1:23" x14ac:dyDescent="0.25">
      <c r="A13" s="269" t="s">
        <v>644</v>
      </c>
      <c r="B13" s="208"/>
      <c r="C13" s="208"/>
      <c r="D13" s="269" t="s">
        <v>645</v>
      </c>
      <c r="E13" s="269" t="s">
        <v>649</v>
      </c>
      <c r="F13" s="310"/>
      <c r="G13" s="269"/>
      <c r="H13" s="269"/>
      <c r="I13" s="208"/>
      <c r="J13" s="208"/>
      <c r="K13" s="208"/>
      <c r="L13" s="208"/>
      <c r="M13" s="208"/>
      <c r="N13" s="208"/>
      <c r="O13" s="208"/>
      <c r="P13" s="208"/>
      <c r="Q13" s="208"/>
      <c r="R13" s="208"/>
      <c r="S13" s="208"/>
      <c r="T13" s="208"/>
      <c r="U13" s="208"/>
      <c r="V13" s="208"/>
    </row>
    <row r="14" spans="1:23" x14ac:dyDescent="0.25">
      <c r="A14" s="208"/>
      <c r="B14" s="208"/>
      <c r="C14" s="209"/>
      <c r="D14" s="208"/>
      <c r="E14" s="208"/>
      <c r="F14" s="311"/>
      <c r="G14" s="208"/>
      <c r="H14" s="208"/>
      <c r="I14" s="208"/>
      <c r="J14" s="208"/>
      <c r="K14" s="208"/>
      <c r="L14" s="208"/>
      <c r="M14" s="208"/>
      <c r="N14" s="208"/>
      <c r="O14" s="208"/>
      <c r="P14" s="208"/>
      <c r="Q14" s="208"/>
      <c r="R14" s="208"/>
      <c r="S14" s="208"/>
      <c r="T14" s="208"/>
      <c r="U14" s="208"/>
      <c r="V14" s="208"/>
    </row>
    <row r="15" spans="1:23" x14ac:dyDescent="0.25">
      <c r="A15" s="514" t="s">
        <v>279</v>
      </c>
      <c r="B15" s="515" t="s">
        <v>280</v>
      </c>
      <c r="C15" s="515"/>
      <c r="D15" s="516" t="s">
        <v>650</v>
      </c>
      <c r="E15" s="516"/>
      <c r="F15" s="517" t="s">
        <v>651</v>
      </c>
      <c r="G15" s="516" t="s">
        <v>652</v>
      </c>
      <c r="H15" s="516"/>
      <c r="I15" s="516"/>
      <c r="J15" s="271" t="s">
        <v>281</v>
      </c>
      <c r="K15" s="271" t="s">
        <v>281</v>
      </c>
      <c r="L15" s="514" t="s">
        <v>281</v>
      </c>
      <c r="M15" s="514"/>
      <c r="N15" s="514"/>
      <c r="O15" s="514"/>
      <c r="P15" s="514"/>
      <c r="Q15" s="516" t="s">
        <v>656</v>
      </c>
      <c r="R15" s="516"/>
      <c r="S15" s="516"/>
      <c r="T15" s="516"/>
      <c r="U15" s="516"/>
      <c r="V15" s="514" t="s">
        <v>282</v>
      </c>
    </row>
    <row r="16" spans="1:23" x14ac:dyDescent="0.25">
      <c r="A16" s="514"/>
      <c r="B16" s="515"/>
      <c r="C16" s="515"/>
      <c r="D16" s="516"/>
      <c r="E16" s="516"/>
      <c r="F16" s="518"/>
      <c r="G16" s="516"/>
      <c r="H16" s="516"/>
      <c r="I16" s="516"/>
      <c r="J16" s="272" t="s">
        <v>283</v>
      </c>
      <c r="K16" s="271" t="s">
        <v>284</v>
      </c>
      <c r="L16" s="514"/>
      <c r="M16" s="514"/>
      <c r="N16" s="514"/>
      <c r="O16" s="514"/>
      <c r="P16" s="514"/>
      <c r="Q16" s="516"/>
      <c r="R16" s="516"/>
      <c r="S16" s="516"/>
      <c r="T16" s="516"/>
      <c r="U16" s="516"/>
      <c r="V16" s="514"/>
    </row>
    <row r="17" spans="1:23" s="276" customFormat="1" ht="24" customHeight="1" x14ac:dyDescent="0.2">
      <c r="A17" s="514"/>
      <c r="B17" s="515"/>
      <c r="C17" s="515"/>
      <c r="D17" s="516"/>
      <c r="E17" s="516"/>
      <c r="F17" s="519"/>
      <c r="G17" s="273" t="s">
        <v>653</v>
      </c>
      <c r="H17" s="273" t="s">
        <v>654</v>
      </c>
      <c r="I17" s="274" t="s">
        <v>285</v>
      </c>
      <c r="J17" s="275" t="s">
        <v>286</v>
      </c>
      <c r="K17" s="274" t="s">
        <v>286</v>
      </c>
      <c r="L17" s="273" t="s">
        <v>653</v>
      </c>
      <c r="M17" s="273" t="s">
        <v>654</v>
      </c>
      <c r="N17" s="274" t="s">
        <v>285</v>
      </c>
      <c r="O17" s="274" t="s">
        <v>286</v>
      </c>
      <c r="P17" s="274" t="s">
        <v>655</v>
      </c>
      <c r="Q17" s="288" t="s">
        <v>657</v>
      </c>
      <c r="R17" s="288" t="s">
        <v>658</v>
      </c>
      <c r="S17" s="288" t="s">
        <v>659</v>
      </c>
      <c r="T17" s="288" t="s">
        <v>660</v>
      </c>
      <c r="U17" s="288" t="s">
        <v>661</v>
      </c>
      <c r="V17" s="514"/>
      <c r="W17" s="280"/>
    </row>
    <row r="18" spans="1:23" x14ac:dyDescent="0.25">
      <c r="A18" s="210"/>
      <c r="B18" s="210"/>
      <c r="C18" s="211">
        <v>4</v>
      </c>
      <c r="D18" s="212" t="s">
        <v>1</v>
      </c>
      <c r="E18" s="210"/>
      <c r="F18" s="312"/>
      <c r="G18" s="210"/>
      <c r="H18" s="210"/>
      <c r="I18" s="213">
        <f>I51</f>
        <v>2065488200</v>
      </c>
      <c r="J18" s="213"/>
      <c r="K18" s="213"/>
      <c r="L18" s="213"/>
      <c r="M18" s="213"/>
      <c r="N18" s="213">
        <f t="shared" ref="N18:U18" si="0">N51</f>
        <v>1840856459</v>
      </c>
      <c r="O18" s="213">
        <f t="shared" si="0"/>
        <v>224631741</v>
      </c>
      <c r="P18" s="213"/>
      <c r="Q18" s="213">
        <f t="shared" si="0"/>
        <v>968086000</v>
      </c>
      <c r="R18" s="213">
        <f t="shared" si="0"/>
        <v>724508675</v>
      </c>
      <c r="S18" s="213">
        <f t="shared" si="0"/>
        <v>29846584</v>
      </c>
      <c r="T18" s="213">
        <f t="shared" si="0"/>
        <v>48582800</v>
      </c>
      <c r="U18" s="213">
        <f t="shared" si="0"/>
        <v>69832400</v>
      </c>
      <c r="V18" s="210"/>
      <c r="W18" s="281"/>
    </row>
    <row r="19" spans="1:23" x14ac:dyDescent="0.25">
      <c r="A19" s="214"/>
      <c r="B19" s="214"/>
      <c r="C19" s="215" t="s">
        <v>287</v>
      </c>
      <c r="D19" s="214"/>
      <c r="E19" s="216" t="s">
        <v>2</v>
      </c>
      <c r="F19" s="236"/>
      <c r="G19" s="216"/>
      <c r="H19" s="216"/>
      <c r="I19" s="217">
        <f>I20+I24</f>
        <v>70304900</v>
      </c>
      <c r="J19" s="217">
        <f>J20+J24</f>
        <v>25077500</v>
      </c>
      <c r="K19" s="217">
        <f>K20+K24</f>
        <v>44754900</v>
      </c>
      <c r="L19" s="217"/>
      <c r="M19" s="217"/>
      <c r="N19" s="217">
        <f>N20+N24</f>
        <v>69832400</v>
      </c>
      <c r="O19" s="217">
        <f>O20+O24</f>
        <v>472500</v>
      </c>
      <c r="P19" s="217"/>
      <c r="Q19" s="217">
        <f t="shared" ref="Q19:V19" si="1">Q20+Q24</f>
        <v>0</v>
      </c>
      <c r="R19" s="217">
        <f t="shared" si="1"/>
        <v>0</v>
      </c>
      <c r="S19" s="217">
        <f t="shared" si="1"/>
        <v>0</v>
      </c>
      <c r="T19" s="217">
        <f t="shared" si="1"/>
        <v>0</v>
      </c>
      <c r="U19" s="217">
        <f t="shared" si="1"/>
        <v>69832400</v>
      </c>
      <c r="V19" s="217">
        <f t="shared" si="1"/>
        <v>0</v>
      </c>
      <c r="W19" s="281"/>
    </row>
    <row r="20" spans="1:23" x14ac:dyDescent="0.25">
      <c r="A20" s="218"/>
      <c r="B20" s="218"/>
      <c r="C20" s="219" t="s">
        <v>288</v>
      </c>
      <c r="D20" s="218"/>
      <c r="E20" s="220" t="s">
        <v>289</v>
      </c>
      <c r="F20" s="277"/>
      <c r="G20" s="220"/>
      <c r="H20" s="220"/>
      <c r="I20" s="221">
        <f>SUM(I21:I22)</f>
        <v>2500000</v>
      </c>
      <c r="J20" s="221">
        <f>SUM(J21:J22)</f>
        <v>2027500</v>
      </c>
      <c r="K20" s="221">
        <f>SUM(K21:K22)</f>
        <v>0</v>
      </c>
      <c r="L20" s="221"/>
      <c r="M20" s="221"/>
      <c r="N20" s="221">
        <f>SUM(N21:N22)</f>
        <v>2027500</v>
      </c>
      <c r="O20" s="221">
        <f>SUM(O21:O22)</f>
        <v>472500</v>
      </c>
      <c r="P20" s="221"/>
      <c r="Q20" s="221">
        <f t="shared" ref="Q20:V20" si="2">SUM(Q21:Q22)</f>
        <v>0</v>
      </c>
      <c r="R20" s="221">
        <f t="shared" si="2"/>
        <v>0</v>
      </c>
      <c r="S20" s="221">
        <f t="shared" si="2"/>
        <v>0</v>
      </c>
      <c r="T20" s="221">
        <f t="shared" si="2"/>
        <v>0</v>
      </c>
      <c r="U20" s="221">
        <f t="shared" si="2"/>
        <v>2027500</v>
      </c>
      <c r="V20" s="221">
        <f t="shared" si="2"/>
        <v>0</v>
      </c>
      <c r="W20" s="282"/>
    </row>
    <row r="21" spans="1:23" x14ac:dyDescent="0.25">
      <c r="A21" s="222"/>
      <c r="B21" s="222"/>
      <c r="C21" s="223" t="s">
        <v>290</v>
      </c>
      <c r="D21" s="222"/>
      <c r="E21" s="224" t="s">
        <v>291</v>
      </c>
      <c r="F21" s="258"/>
      <c r="G21" s="224"/>
      <c r="H21" s="224"/>
      <c r="I21" s="225">
        <v>1550000</v>
      </c>
      <c r="J21" s="225">
        <v>858500</v>
      </c>
      <c r="K21" s="225">
        <f>[1]Nov!I13</f>
        <v>0</v>
      </c>
      <c r="L21" s="225"/>
      <c r="M21" s="225"/>
      <c r="N21" s="225">
        <f>J21+K21</f>
        <v>858500</v>
      </c>
      <c r="O21" s="225">
        <f>I21-N21</f>
        <v>691500</v>
      </c>
      <c r="P21" s="225"/>
      <c r="Q21" s="225"/>
      <c r="R21" s="225"/>
      <c r="S21" s="225"/>
      <c r="T21" s="225"/>
      <c r="U21" s="225">
        <f>N21</f>
        <v>858500</v>
      </c>
      <c r="V21" s="222"/>
      <c r="W21" s="283"/>
    </row>
    <row r="22" spans="1:23" x14ac:dyDescent="0.25">
      <c r="A22" s="222"/>
      <c r="B22" s="222"/>
      <c r="C22" s="223" t="s">
        <v>292</v>
      </c>
      <c r="D22" s="222"/>
      <c r="E22" s="224" t="s">
        <v>293</v>
      </c>
      <c r="F22" s="258"/>
      <c r="G22" s="224"/>
      <c r="H22" s="224"/>
      <c r="I22" s="225">
        <v>950000</v>
      </c>
      <c r="J22" s="225">
        <v>1169000</v>
      </c>
      <c r="K22" s="225">
        <f>[1]Nov!I14</f>
        <v>0</v>
      </c>
      <c r="L22" s="225"/>
      <c r="M22" s="225"/>
      <c r="N22" s="225">
        <f>J22+K22</f>
        <v>1169000</v>
      </c>
      <c r="O22" s="225">
        <f>I22-N22</f>
        <v>-219000</v>
      </c>
      <c r="P22" s="225"/>
      <c r="Q22" s="225"/>
      <c r="R22" s="225"/>
      <c r="S22" s="225"/>
      <c r="T22" s="225"/>
      <c r="U22" s="225">
        <f>N22</f>
        <v>1169000</v>
      </c>
      <c r="V22" s="222"/>
      <c r="W22" s="283"/>
    </row>
    <row r="23" spans="1:23" x14ac:dyDescent="0.25">
      <c r="A23" s="222"/>
      <c r="B23" s="222"/>
      <c r="C23" s="223"/>
      <c r="D23" s="222"/>
      <c r="E23" s="224"/>
      <c r="F23" s="258"/>
      <c r="G23" s="224"/>
      <c r="H23" s="224"/>
      <c r="I23" s="225"/>
      <c r="J23" s="225"/>
      <c r="K23" s="225"/>
      <c r="L23" s="225"/>
      <c r="M23" s="225"/>
      <c r="N23" s="225"/>
      <c r="O23" s="225"/>
      <c r="P23" s="225"/>
      <c r="Q23" s="225"/>
      <c r="R23" s="225"/>
      <c r="S23" s="225"/>
      <c r="T23" s="225"/>
      <c r="U23" s="225"/>
      <c r="V23" s="222"/>
      <c r="W23" s="283"/>
    </row>
    <row r="24" spans="1:23" x14ac:dyDescent="0.25">
      <c r="A24" s="218"/>
      <c r="B24" s="218"/>
      <c r="C24" s="219" t="s">
        <v>294</v>
      </c>
      <c r="D24" s="218"/>
      <c r="E24" s="220" t="s">
        <v>295</v>
      </c>
      <c r="F24" s="277"/>
      <c r="G24" s="220"/>
      <c r="H24" s="220"/>
      <c r="I24" s="221">
        <f>SUM(I25:I27)</f>
        <v>67804900</v>
      </c>
      <c r="J24" s="221">
        <f>SUM(J25:J27)</f>
        <v>23050000</v>
      </c>
      <c r="K24" s="221">
        <f>SUM(K25:K27)</f>
        <v>44754900</v>
      </c>
      <c r="L24" s="221"/>
      <c r="M24" s="221"/>
      <c r="N24" s="221">
        <f>SUM(N25:N27)</f>
        <v>67804900</v>
      </c>
      <c r="O24" s="221">
        <f>SUM(O25:O27)</f>
        <v>0</v>
      </c>
      <c r="P24" s="221"/>
      <c r="Q24" s="221">
        <f t="shared" ref="Q24:V24" si="3">SUM(Q25:Q27)</f>
        <v>0</v>
      </c>
      <c r="R24" s="221">
        <f t="shared" si="3"/>
        <v>0</v>
      </c>
      <c r="S24" s="221">
        <f t="shared" si="3"/>
        <v>0</v>
      </c>
      <c r="T24" s="221">
        <f t="shared" si="3"/>
        <v>0</v>
      </c>
      <c r="U24" s="221">
        <f t="shared" si="3"/>
        <v>67804900</v>
      </c>
      <c r="V24" s="221">
        <f t="shared" si="3"/>
        <v>0</v>
      </c>
      <c r="W24" s="282"/>
    </row>
    <row r="25" spans="1:23" x14ac:dyDescent="0.25">
      <c r="A25" s="222"/>
      <c r="B25" s="222"/>
      <c r="C25" s="223" t="s">
        <v>296</v>
      </c>
      <c r="D25" s="222"/>
      <c r="E25" s="224" t="s">
        <v>297</v>
      </c>
      <c r="F25" s="258"/>
      <c r="G25" s="224"/>
      <c r="H25" s="224"/>
      <c r="I25" s="225">
        <v>46950000</v>
      </c>
      <c r="J25" s="225">
        <v>10050000</v>
      </c>
      <c r="K25" s="225">
        <f>[1]Nov!I17</f>
        <v>36900000</v>
      </c>
      <c r="L25" s="225"/>
      <c r="M25" s="225"/>
      <c r="N25" s="225">
        <f t="shared" ref="N25:N27" si="4">J25+K25</f>
        <v>46950000</v>
      </c>
      <c r="O25" s="225">
        <f t="shared" ref="O25:O27" si="5">I25-N25</f>
        <v>0</v>
      </c>
      <c r="P25" s="225"/>
      <c r="Q25" s="225"/>
      <c r="R25" s="225"/>
      <c r="S25" s="225"/>
      <c r="T25" s="225"/>
      <c r="U25" s="225">
        <f>N25</f>
        <v>46950000</v>
      </c>
      <c r="V25" s="222"/>
      <c r="W25" s="283"/>
    </row>
    <row r="26" spans="1:23" x14ac:dyDescent="0.25">
      <c r="A26" s="222"/>
      <c r="B26" s="222"/>
      <c r="C26" s="223" t="s">
        <v>298</v>
      </c>
      <c r="D26" s="222"/>
      <c r="E26" s="224" t="s">
        <v>299</v>
      </c>
      <c r="F26" s="258"/>
      <c r="G26" s="224"/>
      <c r="H26" s="224"/>
      <c r="I26" s="225">
        <v>13000000</v>
      </c>
      <c r="J26" s="225">
        <v>13000000</v>
      </c>
      <c r="K26" s="225">
        <f>[1]Nov!I18</f>
        <v>0</v>
      </c>
      <c r="L26" s="225"/>
      <c r="M26" s="225"/>
      <c r="N26" s="225">
        <f t="shared" si="4"/>
        <v>13000000</v>
      </c>
      <c r="O26" s="225">
        <f t="shared" si="5"/>
        <v>0</v>
      </c>
      <c r="P26" s="225"/>
      <c r="Q26" s="225"/>
      <c r="R26" s="225"/>
      <c r="S26" s="225"/>
      <c r="T26" s="225"/>
      <c r="U26" s="225">
        <f t="shared" ref="U26:U27" si="6">N26</f>
        <v>13000000</v>
      </c>
      <c r="V26" s="222"/>
      <c r="W26" s="283"/>
    </row>
    <row r="27" spans="1:23" ht="30" x14ac:dyDescent="0.25">
      <c r="A27" s="222"/>
      <c r="B27" s="222"/>
      <c r="C27" s="223" t="s">
        <v>300</v>
      </c>
      <c r="D27" s="222"/>
      <c r="E27" s="258" t="s">
        <v>301</v>
      </c>
      <c r="F27" s="258"/>
      <c r="G27" s="224"/>
      <c r="H27" s="224"/>
      <c r="I27" s="225">
        <v>7854900</v>
      </c>
      <c r="J27" s="225">
        <v>0</v>
      </c>
      <c r="K27" s="225">
        <f>[1]Nov!I19</f>
        <v>7854900</v>
      </c>
      <c r="L27" s="225"/>
      <c r="M27" s="225"/>
      <c r="N27" s="225">
        <f t="shared" si="4"/>
        <v>7854900</v>
      </c>
      <c r="O27" s="225">
        <f t="shared" si="5"/>
        <v>0</v>
      </c>
      <c r="P27" s="225"/>
      <c r="Q27" s="225"/>
      <c r="R27" s="225"/>
      <c r="S27" s="225"/>
      <c r="T27" s="225"/>
      <c r="U27" s="225">
        <f t="shared" si="6"/>
        <v>7854900</v>
      </c>
      <c r="V27" s="222"/>
      <c r="W27" s="283"/>
    </row>
    <row r="28" spans="1:23" x14ac:dyDescent="0.25">
      <c r="A28" s="222"/>
      <c r="B28" s="222"/>
      <c r="C28" s="223"/>
      <c r="D28" s="222"/>
      <c r="E28" s="224"/>
      <c r="F28" s="258"/>
      <c r="G28" s="224"/>
      <c r="H28" s="224"/>
      <c r="I28" s="225"/>
      <c r="J28" s="225"/>
      <c r="K28" s="225"/>
      <c r="L28" s="225"/>
      <c r="M28" s="225"/>
      <c r="N28" s="225"/>
      <c r="O28" s="225"/>
      <c r="P28" s="225"/>
      <c r="Q28" s="225"/>
      <c r="R28" s="225"/>
      <c r="S28" s="225"/>
      <c r="T28" s="225"/>
      <c r="U28" s="225"/>
      <c r="V28" s="222"/>
      <c r="W28" s="283"/>
    </row>
    <row r="29" spans="1:23" x14ac:dyDescent="0.25">
      <c r="A29" s="214"/>
      <c r="B29" s="214"/>
      <c r="C29" s="215" t="s">
        <v>302</v>
      </c>
      <c r="D29" s="214"/>
      <c r="E29" s="216" t="s">
        <v>3</v>
      </c>
      <c r="F29" s="236"/>
      <c r="G29" s="216"/>
      <c r="H29" s="216"/>
      <c r="I29" s="217">
        <f>I30+I33+I36+I39</f>
        <v>1965168300</v>
      </c>
      <c r="J29" s="217">
        <f>J30+J33+J36+J39</f>
        <v>56039525</v>
      </c>
      <c r="K29" s="217">
        <f>K30+K33+K36+K39</f>
        <v>1685137950</v>
      </c>
      <c r="L29" s="217"/>
      <c r="M29" s="217"/>
      <c r="N29" s="217">
        <f>N30+N33+N36+N39</f>
        <v>1741177475</v>
      </c>
      <c r="O29" s="217">
        <f>O30+O33+O36+O39</f>
        <v>223990825</v>
      </c>
      <c r="P29" s="217"/>
      <c r="Q29" s="217">
        <f t="shared" ref="Q29:V29" si="7">Q30+Q33+Q36+Q39</f>
        <v>968086000</v>
      </c>
      <c r="R29" s="217">
        <f t="shared" si="7"/>
        <v>724508675</v>
      </c>
      <c r="S29" s="217">
        <f t="shared" si="7"/>
        <v>0</v>
      </c>
      <c r="T29" s="217">
        <f t="shared" si="7"/>
        <v>48582800</v>
      </c>
      <c r="U29" s="217">
        <f t="shared" si="7"/>
        <v>0</v>
      </c>
      <c r="V29" s="217">
        <f t="shared" si="7"/>
        <v>0</v>
      </c>
      <c r="W29" s="281"/>
    </row>
    <row r="30" spans="1:23" x14ac:dyDescent="0.25">
      <c r="A30" s="218"/>
      <c r="B30" s="218"/>
      <c r="C30" s="219" t="s">
        <v>303</v>
      </c>
      <c r="D30" s="218"/>
      <c r="E30" s="220" t="s">
        <v>4</v>
      </c>
      <c r="F30" s="277"/>
      <c r="G30" s="220"/>
      <c r="H30" s="220"/>
      <c r="I30" s="221">
        <f>I31</f>
        <v>968086000</v>
      </c>
      <c r="J30" s="221">
        <f>J31</f>
        <v>0</v>
      </c>
      <c r="K30" s="221">
        <f>K31</f>
        <v>968086000</v>
      </c>
      <c r="L30" s="221"/>
      <c r="M30" s="221"/>
      <c r="N30" s="221">
        <f>N31</f>
        <v>968086000</v>
      </c>
      <c r="O30" s="221">
        <f>O31</f>
        <v>0</v>
      </c>
      <c r="P30" s="221"/>
      <c r="Q30" s="221">
        <f t="shared" ref="Q30:V30" si="8">Q31</f>
        <v>968086000</v>
      </c>
      <c r="R30" s="221">
        <f t="shared" si="8"/>
        <v>0</v>
      </c>
      <c r="S30" s="221">
        <f t="shared" si="8"/>
        <v>0</v>
      </c>
      <c r="T30" s="221">
        <f t="shared" si="8"/>
        <v>0</v>
      </c>
      <c r="U30" s="221">
        <f t="shared" si="8"/>
        <v>0</v>
      </c>
      <c r="V30" s="221">
        <f t="shared" si="8"/>
        <v>0</v>
      </c>
      <c r="W30" s="282"/>
    </row>
    <row r="31" spans="1:23" x14ac:dyDescent="0.25">
      <c r="A31" s="222"/>
      <c r="B31" s="222"/>
      <c r="C31" s="223" t="s">
        <v>304</v>
      </c>
      <c r="D31" s="222"/>
      <c r="E31" s="224" t="s">
        <v>4</v>
      </c>
      <c r="F31" s="258"/>
      <c r="G31" s="224"/>
      <c r="H31" s="224"/>
      <c r="I31" s="225">
        <v>968086000</v>
      </c>
      <c r="J31" s="225">
        <v>0</v>
      </c>
      <c r="K31" s="225">
        <f>[1]Nov!I23</f>
        <v>968086000</v>
      </c>
      <c r="L31" s="225"/>
      <c r="M31" s="225"/>
      <c r="N31" s="225">
        <f>J31+K31</f>
        <v>968086000</v>
      </c>
      <c r="O31" s="225">
        <f>I31-N31</f>
        <v>0</v>
      </c>
      <c r="P31" s="225"/>
      <c r="Q31" s="225">
        <f>N31</f>
        <v>968086000</v>
      </c>
      <c r="R31" s="225"/>
      <c r="S31" s="225"/>
      <c r="T31" s="225"/>
      <c r="U31" s="225"/>
      <c r="V31" s="222"/>
      <c r="W31" s="283"/>
    </row>
    <row r="32" spans="1:23" x14ac:dyDescent="0.25">
      <c r="A32" s="222"/>
      <c r="B32" s="222"/>
      <c r="C32" s="223"/>
      <c r="D32" s="222"/>
      <c r="E32" s="224"/>
      <c r="F32" s="258"/>
      <c r="G32" s="224"/>
      <c r="H32" s="224"/>
      <c r="I32" s="225"/>
      <c r="J32" s="225"/>
      <c r="K32" s="225"/>
      <c r="L32" s="225"/>
      <c r="M32" s="225"/>
      <c r="N32" s="225"/>
      <c r="O32" s="225"/>
      <c r="P32" s="225"/>
      <c r="Q32" s="225"/>
      <c r="R32" s="225"/>
      <c r="S32" s="225"/>
      <c r="T32" s="225"/>
      <c r="U32" s="225"/>
      <c r="V32" s="222"/>
      <c r="W32" s="283"/>
    </row>
    <row r="33" spans="1:23" x14ac:dyDescent="0.25">
      <c r="A33" s="218"/>
      <c r="B33" s="218"/>
      <c r="C33" s="219" t="s">
        <v>305</v>
      </c>
      <c r="D33" s="218"/>
      <c r="E33" s="220" t="s">
        <v>306</v>
      </c>
      <c r="F33" s="277"/>
      <c r="G33" s="220"/>
      <c r="H33" s="220"/>
      <c r="I33" s="221">
        <f>I34</f>
        <v>34382300</v>
      </c>
      <c r="J33" s="221">
        <f>J34</f>
        <v>0</v>
      </c>
      <c r="K33" s="221">
        <f>K34</f>
        <v>48582800</v>
      </c>
      <c r="L33" s="221"/>
      <c r="M33" s="221"/>
      <c r="N33" s="221">
        <f>N34</f>
        <v>48582800</v>
      </c>
      <c r="O33" s="221">
        <f>O34</f>
        <v>-14200500</v>
      </c>
      <c r="P33" s="221"/>
      <c r="Q33" s="221">
        <f t="shared" ref="Q33:U33" si="9">Q34</f>
        <v>0</v>
      </c>
      <c r="R33" s="221">
        <f t="shared" si="9"/>
        <v>0</v>
      </c>
      <c r="S33" s="221">
        <f t="shared" si="9"/>
        <v>0</v>
      </c>
      <c r="T33" s="221">
        <f t="shared" si="9"/>
        <v>48582800</v>
      </c>
      <c r="U33" s="221">
        <f t="shared" si="9"/>
        <v>0</v>
      </c>
      <c r="V33" s="218"/>
      <c r="W33" s="282"/>
    </row>
    <row r="34" spans="1:23" ht="30" x14ac:dyDescent="0.25">
      <c r="A34" s="222"/>
      <c r="B34" s="222"/>
      <c r="C34" s="223" t="s">
        <v>307</v>
      </c>
      <c r="D34" s="222"/>
      <c r="E34" s="258" t="s">
        <v>308</v>
      </c>
      <c r="F34" s="258"/>
      <c r="G34" s="224"/>
      <c r="H34" s="224"/>
      <c r="I34" s="225">
        <v>34382300</v>
      </c>
      <c r="J34" s="225">
        <v>0</v>
      </c>
      <c r="K34" s="225">
        <f>[1]Nov!I26</f>
        <v>48582800</v>
      </c>
      <c r="L34" s="225"/>
      <c r="M34" s="225"/>
      <c r="N34" s="225">
        <f>J34+K34</f>
        <v>48582800</v>
      </c>
      <c r="O34" s="225">
        <f>I34-N34</f>
        <v>-14200500</v>
      </c>
      <c r="P34" s="225"/>
      <c r="Q34" s="225"/>
      <c r="R34" s="225"/>
      <c r="S34" s="225"/>
      <c r="T34" s="225">
        <f>N34</f>
        <v>48582800</v>
      </c>
      <c r="U34" s="225"/>
      <c r="V34" s="222"/>
      <c r="W34" s="283"/>
    </row>
    <row r="35" spans="1:23" x14ac:dyDescent="0.25">
      <c r="A35" s="222"/>
      <c r="B35" s="222"/>
      <c r="C35" s="223"/>
      <c r="D35" s="222"/>
      <c r="E35" s="224"/>
      <c r="F35" s="258"/>
      <c r="G35" s="224"/>
      <c r="H35" s="224"/>
      <c r="I35" s="225"/>
      <c r="J35" s="225"/>
      <c r="K35" s="225"/>
      <c r="L35" s="225"/>
      <c r="M35" s="225"/>
      <c r="N35" s="225"/>
      <c r="O35" s="225"/>
      <c r="P35" s="225"/>
      <c r="Q35" s="225"/>
      <c r="R35" s="225"/>
      <c r="S35" s="225"/>
      <c r="T35" s="225"/>
      <c r="U35" s="225"/>
      <c r="V35" s="222"/>
      <c r="W35" s="283"/>
    </row>
    <row r="36" spans="1:23" x14ac:dyDescent="0.25">
      <c r="A36" s="218"/>
      <c r="B36" s="218"/>
      <c r="C36" s="219" t="s">
        <v>309</v>
      </c>
      <c r="D36" s="218"/>
      <c r="E36" s="220" t="s">
        <v>6</v>
      </c>
      <c r="F36" s="277"/>
      <c r="G36" s="220"/>
      <c r="H36" s="220"/>
      <c r="I36" s="221">
        <f>I37</f>
        <v>727200000</v>
      </c>
      <c r="J36" s="221">
        <f>J37</f>
        <v>56039525</v>
      </c>
      <c r="K36" s="221">
        <f>K37</f>
        <v>668469150</v>
      </c>
      <c r="L36" s="221"/>
      <c r="M36" s="221"/>
      <c r="N36" s="221">
        <f>N37</f>
        <v>724508675</v>
      </c>
      <c r="O36" s="221">
        <f>O37</f>
        <v>2691325</v>
      </c>
      <c r="P36" s="221"/>
      <c r="Q36" s="221"/>
      <c r="R36" s="221">
        <f t="shared" ref="R36:U36" si="10">R37</f>
        <v>724508675</v>
      </c>
      <c r="S36" s="221">
        <f t="shared" si="10"/>
        <v>0</v>
      </c>
      <c r="T36" s="221">
        <f t="shared" si="10"/>
        <v>0</v>
      </c>
      <c r="U36" s="221">
        <f t="shared" si="10"/>
        <v>0</v>
      </c>
      <c r="V36" s="218"/>
      <c r="W36" s="282"/>
    </row>
    <row r="37" spans="1:23" x14ac:dyDescent="0.25">
      <c r="A37" s="222"/>
      <c r="B37" s="222"/>
      <c r="C37" s="223" t="s">
        <v>310</v>
      </c>
      <c r="D37" s="222"/>
      <c r="E37" s="224" t="s">
        <v>6</v>
      </c>
      <c r="F37" s="258"/>
      <c r="G37" s="224"/>
      <c r="H37" s="224"/>
      <c r="I37" s="225">
        <v>727200000</v>
      </c>
      <c r="J37" s="225">
        <v>56039525</v>
      </c>
      <c r="K37" s="225">
        <f>[1]Nov!I29</f>
        <v>668469150</v>
      </c>
      <c r="L37" s="225"/>
      <c r="M37" s="225"/>
      <c r="N37" s="225">
        <f>J37+K37</f>
        <v>724508675</v>
      </c>
      <c r="O37" s="225">
        <f>I37-N37</f>
        <v>2691325</v>
      </c>
      <c r="P37" s="225"/>
      <c r="Q37" s="225"/>
      <c r="R37" s="225">
        <f>N37</f>
        <v>724508675</v>
      </c>
      <c r="S37" s="225"/>
      <c r="T37" s="225"/>
      <c r="U37" s="225"/>
      <c r="V37" s="222"/>
      <c r="W37" s="283"/>
    </row>
    <row r="38" spans="1:23" x14ac:dyDescent="0.25">
      <c r="A38" s="222"/>
      <c r="B38" s="222"/>
      <c r="C38" s="223"/>
      <c r="D38" s="222"/>
      <c r="E38" s="224"/>
      <c r="F38" s="258"/>
      <c r="G38" s="224"/>
      <c r="H38" s="224"/>
      <c r="I38" s="225"/>
      <c r="J38" s="225"/>
      <c r="K38" s="225"/>
      <c r="L38" s="225"/>
      <c r="M38" s="225"/>
      <c r="N38" s="225"/>
      <c r="O38" s="225"/>
      <c r="P38" s="225"/>
      <c r="Q38" s="225"/>
      <c r="R38" s="225"/>
      <c r="S38" s="225"/>
      <c r="T38" s="225"/>
      <c r="U38" s="225"/>
      <c r="V38" s="222"/>
      <c r="W38" s="283"/>
    </row>
    <row r="39" spans="1:23" x14ac:dyDescent="0.25">
      <c r="A39" s="218"/>
      <c r="B39" s="218"/>
      <c r="C39" s="219" t="s">
        <v>311</v>
      </c>
      <c r="D39" s="218"/>
      <c r="E39" s="220" t="s">
        <v>312</v>
      </c>
      <c r="F39" s="277"/>
      <c r="G39" s="220"/>
      <c r="H39" s="220"/>
      <c r="I39" s="221">
        <f>I40</f>
        <v>235500000</v>
      </c>
      <c r="J39" s="221">
        <f>J40</f>
        <v>0</v>
      </c>
      <c r="K39" s="221">
        <f>K40</f>
        <v>0</v>
      </c>
      <c r="L39" s="221"/>
      <c r="M39" s="221"/>
      <c r="N39" s="221">
        <f>N40</f>
        <v>0</v>
      </c>
      <c r="O39" s="221">
        <f>O40</f>
        <v>235500000</v>
      </c>
      <c r="P39" s="221"/>
      <c r="Q39" s="221"/>
      <c r="R39" s="221"/>
      <c r="S39" s="221"/>
      <c r="T39" s="221"/>
      <c r="U39" s="221"/>
      <c r="V39" s="218"/>
      <c r="W39" s="282"/>
    </row>
    <row r="40" spans="1:23" x14ac:dyDescent="0.25">
      <c r="A40" s="222"/>
      <c r="B40" s="222"/>
      <c r="C40" s="223" t="s">
        <v>313</v>
      </c>
      <c r="D40" s="222"/>
      <c r="E40" s="224" t="s">
        <v>314</v>
      </c>
      <c r="F40" s="258"/>
      <c r="G40" s="224"/>
      <c r="H40" s="224"/>
      <c r="I40" s="225">
        <v>235500000</v>
      </c>
      <c r="J40" s="225">
        <v>0</v>
      </c>
      <c r="K40" s="225">
        <f>[1]Nov!I32</f>
        <v>0</v>
      </c>
      <c r="L40" s="225"/>
      <c r="M40" s="225"/>
      <c r="N40" s="225">
        <f>J40+K40</f>
        <v>0</v>
      </c>
      <c r="O40" s="225">
        <f>I40-N40</f>
        <v>235500000</v>
      </c>
      <c r="P40" s="225"/>
      <c r="Q40" s="225"/>
      <c r="R40" s="225"/>
      <c r="S40" s="225"/>
      <c r="T40" s="225"/>
      <c r="U40" s="225"/>
      <c r="V40" s="222"/>
      <c r="W40" s="283"/>
    </row>
    <row r="41" spans="1:23" x14ac:dyDescent="0.25">
      <c r="A41" s="222"/>
      <c r="B41" s="222"/>
      <c r="C41" s="223"/>
      <c r="D41" s="222"/>
      <c r="E41" s="224"/>
      <c r="F41" s="258"/>
      <c r="G41" s="224"/>
      <c r="H41" s="224"/>
      <c r="I41" s="225"/>
      <c r="J41" s="225"/>
      <c r="K41" s="225"/>
      <c r="L41" s="225"/>
      <c r="M41" s="225"/>
      <c r="N41" s="225"/>
      <c r="O41" s="225"/>
      <c r="P41" s="225"/>
      <c r="Q41" s="225"/>
      <c r="R41" s="225"/>
      <c r="S41" s="225"/>
      <c r="T41" s="225"/>
      <c r="U41" s="225"/>
      <c r="V41" s="222"/>
      <c r="W41" s="283"/>
    </row>
    <row r="42" spans="1:23" x14ac:dyDescent="0.25">
      <c r="A42" s="214"/>
      <c r="B42" s="214"/>
      <c r="C42" s="215" t="s">
        <v>315</v>
      </c>
      <c r="D42" s="214"/>
      <c r="E42" s="216" t="s">
        <v>316</v>
      </c>
      <c r="F42" s="236"/>
      <c r="G42" s="216"/>
      <c r="H42" s="216"/>
      <c r="I42" s="217">
        <f>I43+I46+I49</f>
        <v>30015000</v>
      </c>
      <c r="J42" s="217">
        <f>J43+J46+J49</f>
        <v>28182491</v>
      </c>
      <c r="K42" s="217">
        <f>K43+K46+K49</f>
        <v>1664093</v>
      </c>
      <c r="L42" s="217"/>
      <c r="M42" s="217"/>
      <c r="N42" s="217">
        <f>N43+N46+N49</f>
        <v>29846584</v>
      </c>
      <c r="O42" s="217">
        <f>O43+O46+O49</f>
        <v>168416</v>
      </c>
      <c r="P42" s="217"/>
      <c r="Q42" s="217">
        <f t="shared" ref="Q42:U42" si="11">Q43+Q46+Q49</f>
        <v>0</v>
      </c>
      <c r="R42" s="217">
        <f t="shared" si="11"/>
        <v>0</v>
      </c>
      <c r="S42" s="217">
        <f t="shared" si="11"/>
        <v>29846584</v>
      </c>
      <c r="T42" s="217">
        <f t="shared" si="11"/>
        <v>0</v>
      </c>
      <c r="U42" s="217">
        <f t="shared" si="11"/>
        <v>0</v>
      </c>
      <c r="V42" s="214"/>
      <c r="W42" s="281"/>
    </row>
    <row r="43" spans="1:23" ht="28.5" x14ac:dyDescent="0.25">
      <c r="A43" s="218"/>
      <c r="B43" s="218"/>
      <c r="C43" s="219" t="s">
        <v>317</v>
      </c>
      <c r="D43" s="218"/>
      <c r="E43" s="277" t="s">
        <v>318</v>
      </c>
      <c r="F43" s="277"/>
      <c r="G43" s="220"/>
      <c r="H43" s="220"/>
      <c r="I43" s="221">
        <f>I44</f>
        <v>13015000</v>
      </c>
      <c r="J43" s="221">
        <f>J44</f>
        <v>13015000</v>
      </c>
      <c r="K43" s="221">
        <f>K44</f>
        <v>0</v>
      </c>
      <c r="L43" s="221"/>
      <c r="M43" s="221"/>
      <c r="N43" s="221">
        <f>N44</f>
        <v>13015000</v>
      </c>
      <c r="O43" s="221">
        <f>O44</f>
        <v>0</v>
      </c>
      <c r="P43" s="221"/>
      <c r="Q43" s="221">
        <f t="shared" ref="Q43:U43" si="12">Q44</f>
        <v>0</v>
      </c>
      <c r="R43" s="221">
        <f t="shared" si="12"/>
        <v>0</v>
      </c>
      <c r="S43" s="221">
        <f t="shared" si="12"/>
        <v>13015000</v>
      </c>
      <c r="T43" s="221">
        <f t="shared" si="12"/>
        <v>0</v>
      </c>
      <c r="U43" s="221">
        <f t="shared" si="12"/>
        <v>0</v>
      </c>
      <c r="V43" s="218"/>
      <c r="W43" s="282"/>
    </row>
    <row r="44" spans="1:23" ht="30" x14ac:dyDescent="0.25">
      <c r="A44" s="222"/>
      <c r="B44" s="222"/>
      <c r="C44" s="223" t="s">
        <v>319</v>
      </c>
      <c r="D44" s="222"/>
      <c r="E44" s="258" t="s">
        <v>318</v>
      </c>
      <c r="F44" s="258"/>
      <c r="G44" s="224"/>
      <c r="H44" s="224"/>
      <c r="I44" s="225">
        <v>13015000</v>
      </c>
      <c r="J44" s="225">
        <v>13015000</v>
      </c>
      <c r="K44" s="225">
        <f>[1]Nov!I36</f>
        <v>0</v>
      </c>
      <c r="L44" s="225"/>
      <c r="M44" s="225"/>
      <c r="N44" s="225">
        <f>J44+K44</f>
        <v>13015000</v>
      </c>
      <c r="O44" s="225">
        <f>I44-N44</f>
        <v>0</v>
      </c>
      <c r="P44" s="225"/>
      <c r="Q44" s="225"/>
      <c r="R44" s="225"/>
      <c r="S44" s="225">
        <f>N44</f>
        <v>13015000</v>
      </c>
      <c r="T44" s="225"/>
      <c r="U44" s="225"/>
      <c r="V44" s="222"/>
      <c r="W44" s="283"/>
    </row>
    <row r="45" spans="1:23" x14ac:dyDescent="0.25">
      <c r="A45" s="222"/>
      <c r="B45" s="222"/>
      <c r="C45" s="223"/>
      <c r="D45" s="222"/>
      <c r="E45" s="224"/>
      <c r="F45" s="258"/>
      <c r="G45" s="224"/>
      <c r="H45" s="224"/>
      <c r="I45" s="225"/>
      <c r="J45" s="225"/>
      <c r="K45" s="225"/>
      <c r="L45" s="225"/>
      <c r="M45" s="225"/>
      <c r="N45" s="225"/>
      <c r="O45" s="225"/>
      <c r="P45" s="225"/>
      <c r="Q45" s="225"/>
      <c r="R45" s="225"/>
      <c r="S45" s="225"/>
      <c r="T45" s="225"/>
      <c r="U45" s="225"/>
      <c r="V45" s="222"/>
      <c r="W45" s="283"/>
    </row>
    <row r="46" spans="1:23" x14ac:dyDescent="0.25">
      <c r="A46" s="218"/>
      <c r="B46" s="218"/>
      <c r="C46" s="219" t="s">
        <v>320</v>
      </c>
      <c r="D46" s="218"/>
      <c r="E46" s="220" t="s">
        <v>141</v>
      </c>
      <c r="F46" s="277"/>
      <c r="G46" s="220"/>
      <c r="H46" s="220"/>
      <c r="I46" s="221">
        <f>I47</f>
        <v>3000000</v>
      </c>
      <c r="J46" s="221">
        <f>J47</f>
        <v>77150</v>
      </c>
      <c r="K46" s="221">
        <f>K47</f>
        <v>1664093</v>
      </c>
      <c r="L46" s="221"/>
      <c r="M46" s="221"/>
      <c r="N46" s="221">
        <f>N47</f>
        <v>1741243</v>
      </c>
      <c r="O46" s="221">
        <f>O47</f>
        <v>1258757</v>
      </c>
      <c r="P46" s="221"/>
      <c r="Q46" s="221">
        <f t="shared" ref="Q46:U46" si="13">Q47</f>
        <v>0</v>
      </c>
      <c r="R46" s="221">
        <f t="shared" si="13"/>
        <v>0</v>
      </c>
      <c r="S46" s="221">
        <f t="shared" si="13"/>
        <v>1741243</v>
      </c>
      <c r="T46" s="221">
        <f t="shared" si="13"/>
        <v>0</v>
      </c>
      <c r="U46" s="221">
        <f t="shared" si="13"/>
        <v>0</v>
      </c>
      <c r="V46" s="218"/>
      <c r="W46" s="282"/>
    </row>
    <row r="47" spans="1:23" x14ac:dyDescent="0.25">
      <c r="A47" s="222"/>
      <c r="B47" s="222"/>
      <c r="C47" s="223" t="s">
        <v>321</v>
      </c>
      <c r="D47" s="222"/>
      <c r="E47" s="224" t="s">
        <v>141</v>
      </c>
      <c r="F47" s="258"/>
      <c r="G47" s="224"/>
      <c r="H47" s="224"/>
      <c r="I47" s="225">
        <v>3000000</v>
      </c>
      <c r="J47" s="225">
        <f>104563-6500-20913</f>
        <v>77150</v>
      </c>
      <c r="K47" s="225">
        <f>[1]Nov!I39</f>
        <v>1664093</v>
      </c>
      <c r="L47" s="225"/>
      <c r="M47" s="225"/>
      <c r="N47" s="225">
        <f>J47+K47</f>
        <v>1741243</v>
      </c>
      <c r="O47" s="225">
        <f>I47-N47</f>
        <v>1258757</v>
      </c>
      <c r="P47" s="225"/>
      <c r="Q47" s="225"/>
      <c r="R47" s="225"/>
      <c r="S47" s="225">
        <f>N47</f>
        <v>1741243</v>
      </c>
      <c r="T47" s="225"/>
      <c r="U47" s="225"/>
      <c r="V47" s="222"/>
      <c r="W47" s="283"/>
    </row>
    <row r="48" spans="1:23" x14ac:dyDescent="0.25">
      <c r="A48" s="222"/>
      <c r="B48" s="222"/>
      <c r="C48" s="223"/>
      <c r="D48" s="222"/>
      <c r="E48" s="224"/>
      <c r="F48" s="258"/>
      <c r="G48" s="224"/>
      <c r="H48" s="224"/>
      <c r="I48" s="225"/>
      <c r="J48" s="225"/>
      <c r="K48" s="225"/>
      <c r="L48" s="225"/>
      <c r="M48" s="225"/>
      <c r="N48" s="225"/>
      <c r="O48" s="225"/>
      <c r="P48" s="225"/>
      <c r="Q48" s="225"/>
      <c r="R48" s="225"/>
      <c r="S48" s="225"/>
      <c r="T48" s="225"/>
      <c r="U48" s="225"/>
      <c r="V48" s="222"/>
      <c r="W48" s="283"/>
    </row>
    <row r="49" spans="1:23" x14ac:dyDescent="0.25">
      <c r="A49" s="218"/>
      <c r="B49" s="218"/>
      <c r="C49" s="219" t="s">
        <v>322</v>
      </c>
      <c r="D49" s="218"/>
      <c r="E49" s="220" t="s">
        <v>323</v>
      </c>
      <c r="F49" s="277"/>
      <c r="G49" s="220"/>
      <c r="H49" s="220"/>
      <c r="I49" s="221">
        <f>I50</f>
        <v>14000000</v>
      </c>
      <c r="J49" s="221">
        <f>J50</f>
        <v>15090341</v>
      </c>
      <c r="K49" s="221">
        <f>K50</f>
        <v>0</v>
      </c>
      <c r="L49" s="221"/>
      <c r="M49" s="221"/>
      <c r="N49" s="221">
        <f>N50</f>
        <v>15090341</v>
      </c>
      <c r="O49" s="221">
        <f>O50</f>
        <v>-1090341</v>
      </c>
      <c r="P49" s="221"/>
      <c r="Q49" s="221">
        <f t="shared" ref="Q49:U49" si="14">Q50</f>
        <v>0</v>
      </c>
      <c r="R49" s="221">
        <f t="shared" si="14"/>
        <v>0</v>
      </c>
      <c r="S49" s="221">
        <f t="shared" si="14"/>
        <v>15090341</v>
      </c>
      <c r="T49" s="221">
        <f t="shared" si="14"/>
        <v>0</v>
      </c>
      <c r="U49" s="221">
        <f t="shared" si="14"/>
        <v>0</v>
      </c>
      <c r="V49" s="218"/>
      <c r="W49" s="282"/>
    </row>
    <row r="50" spans="1:23" x14ac:dyDescent="0.25">
      <c r="A50" s="222"/>
      <c r="B50" s="222"/>
      <c r="C50" s="223" t="s">
        <v>324</v>
      </c>
      <c r="D50" s="222"/>
      <c r="E50" s="224" t="s">
        <v>325</v>
      </c>
      <c r="F50" s="258"/>
      <c r="G50" s="224"/>
      <c r="H50" s="224"/>
      <c r="I50" s="225">
        <v>14000000</v>
      </c>
      <c r="J50" s="225">
        <v>15090341</v>
      </c>
      <c r="K50" s="225">
        <f>[1]Nov!I42</f>
        <v>0</v>
      </c>
      <c r="L50" s="225"/>
      <c r="M50" s="225"/>
      <c r="N50" s="225">
        <f>J50+K50</f>
        <v>15090341</v>
      </c>
      <c r="O50" s="225">
        <f>I50-N50</f>
        <v>-1090341</v>
      </c>
      <c r="P50" s="225"/>
      <c r="Q50" s="225"/>
      <c r="R50" s="225"/>
      <c r="S50" s="225">
        <f>N50</f>
        <v>15090341</v>
      </c>
      <c r="T50" s="225"/>
      <c r="U50" s="225"/>
      <c r="V50" s="222"/>
      <c r="W50" s="283"/>
    </row>
    <row r="51" spans="1:23" hidden="1" x14ac:dyDescent="0.25">
      <c r="A51" s="226"/>
      <c r="B51" s="226"/>
      <c r="C51" s="227"/>
      <c r="D51" s="226"/>
      <c r="E51" s="228" t="s">
        <v>10</v>
      </c>
      <c r="F51" s="313"/>
      <c r="G51" s="228"/>
      <c r="H51" s="228"/>
      <c r="I51" s="229">
        <f>I19+I29+I42</f>
        <v>2065488200</v>
      </c>
      <c r="J51" s="229">
        <f>J19+J29+J42</f>
        <v>109299516</v>
      </c>
      <c r="K51" s="229">
        <f>K19+K29+K42</f>
        <v>1731556943</v>
      </c>
      <c r="L51" s="229"/>
      <c r="M51" s="229"/>
      <c r="N51" s="229">
        <f>N19+N29+N42</f>
        <v>1840856459</v>
      </c>
      <c r="O51" s="229">
        <f>O19+O29+O42</f>
        <v>224631741</v>
      </c>
      <c r="P51" s="229"/>
      <c r="Q51" s="229">
        <f t="shared" ref="Q51:U51" si="15">Q19+Q29+Q42</f>
        <v>968086000</v>
      </c>
      <c r="R51" s="229">
        <f t="shared" si="15"/>
        <v>724508675</v>
      </c>
      <c r="S51" s="229">
        <f t="shared" si="15"/>
        <v>29846584</v>
      </c>
      <c r="T51" s="229">
        <f t="shared" si="15"/>
        <v>48582800</v>
      </c>
      <c r="U51" s="229">
        <f t="shared" si="15"/>
        <v>69832400</v>
      </c>
      <c r="V51" s="226"/>
      <c r="W51" s="284">
        <f>I51-N51</f>
        <v>224631741</v>
      </c>
    </row>
    <row r="52" spans="1:23" s="13" customFormat="1" x14ac:dyDescent="0.25">
      <c r="A52" s="210"/>
      <c r="B52" s="210"/>
      <c r="C52" s="211">
        <v>5</v>
      </c>
      <c r="D52" s="212" t="s">
        <v>14</v>
      </c>
      <c r="E52" s="210"/>
      <c r="F52" s="312"/>
      <c r="G52" s="210"/>
      <c r="H52" s="210"/>
      <c r="I52" s="213">
        <f>I686</f>
        <v>2109924518</v>
      </c>
      <c r="J52" s="213"/>
      <c r="K52" s="213"/>
      <c r="L52" s="213"/>
      <c r="M52" s="213"/>
      <c r="N52" s="213">
        <f>N686</f>
        <v>1764254753</v>
      </c>
      <c r="O52" s="213">
        <f>O686</f>
        <v>345669765</v>
      </c>
      <c r="P52" s="213"/>
      <c r="Q52" s="213">
        <f>Q686</f>
        <v>891370850</v>
      </c>
      <c r="R52" s="213">
        <f t="shared" ref="R52:U52" si="16">R686</f>
        <v>725419619</v>
      </c>
      <c r="S52" s="213">
        <f t="shared" si="16"/>
        <v>38153324</v>
      </c>
      <c r="T52" s="213">
        <f t="shared" si="16"/>
        <v>27762000</v>
      </c>
      <c r="U52" s="213">
        <f t="shared" si="16"/>
        <v>81548960</v>
      </c>
      <c r="V52" s="210"/>
      <c r="W52" s="281" t="s">
        <v>326</v>
      </c>
    </row>
    <row r="53" spans="1:23" x14ac:dyDescent="0.25">
      <c r="A53" s="231"/>
      <c r="B53" s="215">
        <v>1</v>
      </c>
      <c r="C53" s="232"/>
      <c r="D53" s="216" t="s">
        <v>327</v>
      </c>
      <c r="E53" s="214"/>
      <c r="F53" s="291"/>
      <c r="G53" s="214"/>
      <c r="H53" s="214"/>
      <c r="I53" s="217">
        <f>I54+I116+I132+I157+I229</f>
        <v>870258856</v>
      </c>
      <c r="J53" s="217">
        <f>J54+J116+J132+J157+J229</f>
        <v>113353621</v>
      </c>
      <c r="K53" s="217">
        <f>K54+K116+K132+K157+K229</f>
        <v>743058282</v>
      </c>
      <c r="L53" s="217"/>
      <c r="M53" s="217"/>
      <c r="N53" s="217">
        <f>N54+N116+N132+N157+N229</f>
        <v>856411903</v>
      </c>
      <c r="O53" s="217">
        <f>O54+O116+O132+O157+O229</f>
        <v>13846953</v>
      </c>
      <c r="P53" s="217"/>
      <c r="Q53" s="217">
        <f>Q54+Q116+Q132+Q157+Q229</f>
        <v>15792250</v>
      </c>
      <c r="R53" s="217">
        <f>R54+R116+R132+R157+R229</f>
        <v>722387869</v>
      </c>
      <c r="S53" s="217">
        <f>S54+S116+S132+S157+S229</f>
        <v>17606324</v>
      </c>
      <c r="T53" s="217">
        <f>T54+T116+T132+T157+T229</f>
        <v>21646500</v>
      </c>
      <c r="U53" s="217">
        <f>U54+U116+U132+U157+U229</f>
        <v>78978960</v>
      </c>
      <c r="V53" s="214"/>
      <c r="W53" s="281"/>
    </row>
    <row r="54" spans="1:23" ht="33.75" customHeight="1" x14ac:dyDescent="0.25">
      <c r="A54" s="233"/>
      <c r="B54" s="215" t="s">
        <v>328</v>
      </c>
      <c r="C54" s="233"/>
      <c r="D54" s="512" t="s">
        <v>329</v>
      </c>
      <c r="E54" s="512"/>
      <c r="F54" s="236"/>
      <c r="G54" s="236"/>
      <c r="H54" s="236"/>
      <c r="I54" s="217">
        <f>I55+I61+I67+I75+I93+I99+I109</f>
        <v>701757940</v>
      </c>
      <c r="J54" s="217">
        <f>J55+J61+J67+J75+J93+J99+J109</f>
        <v>58386321</v>
      </c>
      <c r="K54" s="217">
        <f>K55+K61+K67+K75+K93+K99+K109</f>
        <v>635188458</v>
      </c>
      <c r="L54" s="217"/>
      <c r="M54" s="217"/>
      <c r="N54" s="217">
        <f>N55+N61+N67+N75+N93+N99+N109</f>
        <v>693574779</v>
      </c>
      <c r="O54" s="217">
        <f>O55+O61+O67+O75+O93+O99+O109</f>
        <v>8183161</v>
      </c>
      <c r="P54" s="217"/>
      <c r="Q54" s="217">
        <f>Q55+Q61+Q67+Q75+Q93+Q99+Q109</f>
        <v>0</v>
      </c>
      <c r="R54" s="217">
        <f>R55+R61+R67+R75+R93+R99+R109</f>
        <v>665410319</v>
      </c>
      <c r="S54" s="217">
        <f>S55+S61+S67+S75+S93+S99+S109</f>
        <v>300000</v>
      </c>
      <c r="T54" s="217">
        <f>T55+T61+T67+T75+T93+T99+T109</f>
        <v>12338000</v>
      </c>
      <c r="U54" s="217">
        <f>U55+U61+U67+U75+U93+U99+U109</f>
        <v>15526460</v>
      </c>
      <c r="V54" s="222"/>
      <c r="W54" s="282"/>
    </row>
    <row r="55" spans="1:23" ht="45" x14ac:dyDescent="0.25">
      <c r="A55" s="233"/>
      <c r="B55" s="215" t="s">
        <v>330</v>
      </c>
      <c r="C55" s="233"/>
      <c r="D55" s="292"/>
      <c r="E55" s="236" t="s">
        <v>331</v>
      </c>
      <c r="F55" s="236" t="s">
        <v>675</v>
      </c>
      <c r="G55" s="216"/>
      <c r="H55" s="216"/>
      <c r="I55" s="217">
        <f t="shared" ref="I55:U56" si="17">I56</f>
        <v>39000000</v>
      </c>
      <c r="J55" s="217">
        <f t="shared" si="17"/>
        <v>2970000</v>
      </c>
      <c r="K55" s="217">
        <f t="shared" si="17"/>
        <v>35820000</v>
      </c>
      <c r="L55" s="217"/>
      <c r="M55" s="217"/>
      <c r="N55" s="217">
        <f t="shared" si="17"/>
        <v>38790000</v>
      </c>
      <c r="O55" s="217">
        <f t="shared" si="17"/>
        <v>210000</v>
      </c>
      <c r="P55" s="217"/>
      <c r="Q55" s="217">
        <f t="shared" si="17"/>
        <v>0</v>
      </c>
      <c r="R55" s="217">
        <f t="shared" si="17"/>
        <v>38790000</v>
      </c>
      <c r="S55" s="217">
        <f t="shared" si="17"/>
        <v>0</v>
      </c>
      <c r="T55" s="217">
        <f t="shared" si="17"/>
        <v>0</v>
      </c>
      <c r="U55" s="217">
        <f t="shared" si="17"/>
        <v>0</v>
      </c>
      <c r="V55" s="222"/>
      <c r="W55" s="283"/>
    </row>
    <row r="56" spans="1:23" x14ac:dyDescent="0.25">
      <c r="A56" s="232"/>
      <c r="B56" s="215" t="s">
        <v>330</v>
      </c>
      <c r="C56" s="215" t="s">
        <v>332</v>
      </c>
      <c r="D56" s="291"/>
      <c r="E56" s="236" t="s">
        <v>66</v>
      </c>
      <c r="F56" s="236"/>
      <c r="G56" s="216"/>
      <c r="H56" s="216"/>
      <c r="I56" s="217">
        <f t="shared" si="17"/>
        <v>39000000</v>
      </c>
      <c r="J56" s="217">
        <f t="shared" si="17"/>
        <v>2970000</v>
      </c>
      <c r="K56" s="217">
        <f t="shared" si="17"/>
        <v>35820000</v>
      </c>
      <c r="L56" s="217"/>
      <c r="M56" s="217"/>
      <c r="N56" s="217">
        <f t="shared" si="17"/>
        <v>38790000</v>
      </c>
      <c r="O56" s="217">
        <f t="shared" si="17"/>
        <v>210000</v>
      </c>
      <c r="P56" s="217"/>
      <c r="Q56" s="217">
        <f t="shared" si="17"/>
        <v>0</v>
      </c>
      <c r="R56" s="217">
        <f t="shared" si="17"/>
        <v>38790000</v>
      </c>
      <c r="S56" s="217">
        <f t="shared" si="17"/>
        <v>0</v>
      </c>
      <c r="T56" s="217">
        <f t="shared" si="17"/>
        <v>0</v>
      </c>
      <c r="U56" s="217">
        <f t="shared" si="17"/>
        <v>0</v>
      </c>
      <c r="V56" s="214"/>
      <c r="W56" s="283"/>
    </row>
    <row r="57" spans="1:23" ht="28.5" x14ac:dyDescent="0.25">
      <c r="A57" s="234"/>
      <c r="B57" s="219" t="s">
        <v>330</v>
      </c>
      <c r="C57" s="219" t="s">
        <v>333</v>
      </c>
      <c r="D57" s="293"/>
      <c r="E57" s="277" t="s">
        <v>144</v>
      </c>
      <c r="F57" s="277"/>
      <c r="G57" s="220"/>
      <c r="H57" s="220"/>
      <c r="I57" s="221">
        <f>SUM(I58:I59)</f>
        <v>39000000</v>
      </c>
      <c r="J57" s="221">
        <f>SUM(J58:J59)</f>
        <v>2970000</v>
      </c>
      <c r="K57" s="221">
        <f>SUM(K58:K59)</f>
        <v>35820000</v>
      </c>
      <c r="L57" s="221"/>
      <c r="M57" s="221"/>
      <c r="N57" s="221">
        <f>SUM(N58:N59)</f>
        <v>38790000</v>
      </c>
      <c r="O57" s="221">
        <f>SUM(O58:O59)</f>
        <v>210000</v>
      </c>
      <c r="P57" s="221"/>
      <c r="Q57" s="221">
        <f t="shared" ref="Q57:U57" si="18">SUM(Q58:Q59)</f>
        <v>0</v>
      </c>
      <c r="R57" s="221">
        <f t="shared" si="18"/>
        <v>38790000</v>
      </c>
      <c r="S57" s="221">
        <f t="shared" si="18"/>
        <v>0</v>
      </c>
      <c r="T57" s="221">
        <f t="shared" si="18"/>
        <v>0</v>
      </c>
      <c r="U57" s="221">
        <f t="shared" si="18"/>
        <v>0</v>
      </c>
      <c r="V57" s="218"/>
      <c r="W57" s="283"/>
    </row>
    <row r="58" spans="1:23" x14ac:dyDescent="0.25">
      <c r="A58" s="233"/>
      <c r="B58" s="223" t="s">
        <v>330</v>
      </c>
      <c r="C58" s="223" t="s">
        <v>334</v>
      </c>
      <c r="D58" s="292"/>
      <c r="E58" s="258" t="s">
        <v>335</v>
      </c>
      <c r="F58" s="258"/>
      <c r="G58" s="224"/>
      <c r="H58" s="224"/>
      <c r="I58" s="225">
        <v>36000000</v>
      </c>
      <c r="J58" s="225">
        <v>2970000</v>
      </c>
      <c r="K58" s="225">
        <f>[1]Nov!I53</f>
        <v>32820000</v>
      </c>
      <c r="L58" s="225"/>
      <c r="M58" s="225"/>
      <c r="N58" s="225">
        <f>J58+K58</f>
        <v>35790000</v>
      </c>
      <c r="O58" s="225">
        <f>I58-N58</f>
        <v>210000</v>
      </c>
      <c r="P58" s="225"/>
      <c r="Q58" s="225"/>
      <c r="R58" s="225">
        <f>N58</f>
        <v>35790000</v>
      </c>
      <c r="S58" s="225"/>
      <c r="T58" s="225"/>
      <c r="U58" s="225"/>
      <c r="V58" s="222"/>
      <c r="W58" s="283"/>
    </row>
    <row r="59" spans="1:23" x14ac:dyDescent="0.25">
      <c r="A59" s="233"/>
      <c r="B59" s="223" t="s">
        <v>330</v>
      </c>
      <c r="C59" s="223" t="s">
        <v>336</v>
      </c>
      <c r="D59" s="292"/>
      <c r="E59" s="258" t="s">
        <v>337</v>
      </c>
      <c r="F59" s="258"/>
      <c r="G59" s="224"/>
      <c r="H59" s="224"/>
      <c r="I59" s="225">
        <v>3000000</v>
      </c>
      <c r="J59" s="225">
        <v>0</v>
      </c>
      <c r="K59" s="225">
        <f>[1]Nov!I54</f>
        <v>3000000</v>
      </c>
      <c r="L59" s="225"/>
      <c r="M59" s="225"/>
      <c r="N59" s="225">
        <f>J59+K59</f>
        <v>3000000</v>
      </c>
      <c r="O59" s="225">
        <f>I59-N59</f>
        <v>0</v>
      </c>
      <c r="P59" s="225"/>
      <c r="Q59" s="225"/>
      <c r="R59" s="225">
        <f>N59</f>
        <v>3000000</v>
      </c>
      <c r="S59" s="225"/>
      <c r="T59" s="225"/>
      <c r="U59" s="225"/>
      <c r="V59" s="222"/>
      <c r="W59" s="281"/>
    </row>
    <row r="60" spans="1:23" x14ac:dyDescent="0.25">
      <c r="A60" s="233"/>
      <c r="B60" s="223"/>
      <c r="C60" s="223"/>
      <c r="D60" s="292"/>
      <c r="E60" s="258"/>
      <c r="F60" s="258"/>
      <c r="G60" s="224"/>
      <c r="H60" s="224"/>
      <c r="I60" s="225"/>
      <c r="J60" s="225"/>
      <c r="K60" s="225"/>
      <c r="L60" s="225"/>
      <c r="M60" s="225"/>
      <c r="N60" s="225"/>
      <c r="O60" s="225"/>
      <c r="P60" s="225"/>
      <c r="Q60" s="225"/>
      <c r="R60" s="225"/>
      <c r="S60" s="225"/>
      <c r="T60" s="225"/>
      <c r="U60" s="225"/>
      <c r="V60" s="222"/>
      <c r="W60" s="282"/>
    </row>
    <row r="61" spans="1:23" ht="45" x14ac:dyDescent="0.25">
      <c r="A61" s="233"/>
      <c r="B61" s="215" t="s">
        <v>338</v>
      </c>
      <c r="C61" s="233"/>
      <c r="D61" s="292"/>
      <c r="E61" s="236" t="s">
        <v>339</v>
      </c>
      <c r="F61" s="236" t="s">
        <v>676</v>
      </c>
      <c r="G61" s="216"/>
      <c r="H61" s="216"/>
      <c r="I61" s="217">
        <f t="shared" ref="I61:U62" si="19">I62</f>
        <v>523562500</v>
      </c>
      <c r="J61" s="217">
        <f t="shared" si="19"/>
        <v>38503025</v>
      </c>
      <c r="K61" s="217">
        <f t="shared" si="19"/>
        <v>482578150</v>
      </c>
      <c r="L61" s="217"/>
      <c r="M61" s="217"/>
      <c r="N61" s="217">
        <f t="shared" si="19"/>
        <v>521081175</v>
      </c>
      <c r="O61" s="217">
        <f t="shared" si="19"/>
        <v>2481325</v>
      </c>
      <c r="P61" s="217"/>
      <c r="Q61" s="217">
        <f t="shared" si="19"/>
        <v>0</v>
      </c>
      <c r="R61" s="217">
        <f t="shared" si="19"/>
        <v>521081175</v>
      </c>
      <c r="S61" s="217">
        <f t="shared" si="19"/>
        <v>0</v>
      </c>
      <c r="T61" s="217">
        <f t="shared" si="19"/>
        <v>0</v>
      </c>
      <c r="U61" s="217">
        <f t="shared" si="19"/>
        <v>0</v>
      </c>
      <c r="V61" s="222"/>
      <c r="W61" s="283"/>
    </row>
    <row r="62" spans="1:23" x14ac:dyDescent="0.25">
      <c r="A62" s="232"/>
      <c r="B62" s="215" t="s">
        <v>338</v>
      </c>
      <c r="C62" s="215" t="s">
        <v>332</v>
      </c>
      <c r="D62" s="291"/>
      <c r="E62" s="236" t="s">
        <v>66</v>
      </c>
      <c r="F62" s="236"/>
      <c r="G62" s="216"/>
      <c r="H62" s="216"/>
      <c r="I62" s="217">
        <f t="shared" si="19"/>
        <v>523562500</v>
      </c>
      <c r="J62" s="217">
        <f t="shared" si="19"/>
        <v>38503025</v>
      </c>
      <c r="K62" s="217">
        <f t="shared" si="19"/>
        <v>482578150</v>
      </c>
      <c r="L62" s="217"/>
      <c r="M62" s="217"/>
      <c r="N62" s="217">
        <f t="shared" si="19"/>
        <v>521081175</v>
      </c>
      <c r="O62" s="217">
        <f t="shared" si="19"/>
        <v>2481325</v>
      </c>
      <c r="P62" s="217"/>
      <c r="Q62" s="217">
        <f t="shared" si="19"/>
        <v>0</v>
      </c>
      <c r="R62" s="217">
        <f t="shared" si="19"/>
        <v>521081175</v>
      </c>
      <c r="S62" s="217">
        <f t="shared" si="19"/>
        <v>0</v>
      </c>
      <c r="T62" s="217">
        <f t="shared" si="19"/>
        <v>0</v>
      </c>
      <c r="U62" s="217">
        <f t="shared" si="19"/>
        <v>0</v>
      </c>
      <c r="V62" s="214"/>
      <c r="W62" s="283"/>
    </row>
    <row r="63" spans="1:23" ht="28.5" x14ac:dyDescent="0.25">
      <c r="A63" s="234"/>
      <c r="B63" s="219" t="s">
        <v>338</v>
      </c>
      <c r="C63" s="219" t="s">
        <v>340</v>
      </c>
      <c r="D63" s="293"/>
      <c r="E63" s="277" t="s">
        <v>143</v>
      </c>
      <c r="F63" s="277"/>
      <c r="G63" s="220"/>
      <c r="H63" s="220"/>
      <c r="I63" s="221">
        <f>SUM(I64:I65)</f>
        <v>523562500</v>
      </c>
      <c r="J63" s="221">
        <f>SUM(J64:J65)</f>
        <v>38503025</v>
      </c>
      <c r="K63" s="221">
        <f>SUM(K64:K65)</f>
        <v>482578150</v>
      </c>
      <c r="L63" s="221"/>
      <c r="M63" s="221"/>
      <c r="N63" s="221">
        <f>SUM(N64:N65)</f>
        <v>521081175</v>
      </c>
      <c r="O63" s="221">
        <f>SUM(O64:O65)</f>
        <v>2481325</v>
      </c>
      <c r="P63" s="221"/>
      <c r="Q63" s="221">
        <f t="shared" ref="Q63:U63" si="20">SUM(Q64:Q65)</f>
        <v>0</v>
      </c>
      <c r="R63" s="221">
        <f t="shared" si="20"/>
        <v>521081175</v>
      </c>
      <c r="S63" s="221">
        <f t="shared" si="20"/>
        <v>0</v>
      </c>
      <c r="T63" s="221">
        <f t="shared" si="20"/>
        <v>0</v>
      </c>
      <c r="U63" s="221">
        <f t="shared" si="20"/>
        <v>0</v>
      </c>
      <c r="V63" s="218"/>
      <c r="W63" s="283"/>
    </row>
    <row r="64" spans="1:23" x14ac:dyDescent="0.25">
      <c r="A64" s="233"/>
      <c r="B64" s="223" t="s">
        <v>338</v>
      </c>
      <c r="C64" s="223" t="s">
        <v>341</v>
      </c>
      <c r="D64" s="292"/>
      <c r="E64" s="258" t="s">
        <v>342</v>
      </c>
      <c r="F64" s="258"/>
      <c r="G64" s="224"/>
      <c r="H64" s="224"/>
      <c r="I64" s="225">
        <v>483000000</v>
      </c>
      <c r="J64" s="225">
        <v>38503025</v>
      </c>
      <c r="K64" s="225">
        <f>[1]Nov!I59</f>
        <v>442015650</v>
      </c>
      <c r="L64" s="225"/>
      <c r="M64" s="225"/>
      <c r="N64" s="225">
        <f t="shared" ref="N64:N65" si="21">J64+K64</f>
        <v>480518675</v>
      </c>
      <c r="O64" s="225">
        <f t="shared" ref="O64:O65" si="22">I64-N64</f>
        <v>2481325</v>
      </c>
      <c r="P64" s="225"/>
      <c r="Q64" s="225"/>
      <c r="R64" s="225">
        <f>N64</f>
        <v>480518675</v>
      </c>
      <c r="S64" s="225"/>
      <c r="T64" s="225"/>
      <c r="U64" s="225"/>
      <c r="V64" s="222"/>
      <c r="W64" s="283"/>
    </row>
    <row r="65" spans="1:24" x14ac:dyDescent="0.25">
      <c r="A65" s="233"/>
      <c r="B65" s="223" t="s">
        <v>338</v>
      </c>
      <c r="C65" s="223" t="s">
        <v>343</v>
      </c>
      <c r="D65" s="292"/>
      <c r="E65" s="258" t="s">
        <v>344</v>
      </c>
      <c r="F65" s="258"/>
      <c r="G65" s="224"/>
      <c r="H65" s="224"/>
      <c r="I65" s="225">
        <v>40562500</v>
      </c>
      <c r="J65" s="225">
        <v>0</v>
      </c>
      <c r="K65" s="225">
        <f>[1]Nov!I60</f>
        <v>40562500</v>
      </c>
      <c r="L65" s="225"/>
      <c r="M65" s="225"/>
      <c r="N65" s="225">
        <f t="shared" si="21"/>
        <v>40562500</v>
      </c>
      <c r="O65" s="225">
        <f t="shared" si="22"/>
        <v>0</v>
      </c>
      <c r="P65" s="225"/>
      <c r="Q65" s="225"/>
      <c r="R65" s="225">
        <f>N65</f>
        <v>40562500</v>
      </c>
      <c r="S65" s="225"/>
      <c r="T65" s="225"/>
      <c r="U65" s="225"/>
      <c r="V65" s="222"/>
      <c r="W65" s="281"/>
    </row>
    <row r="66" spans="1:24" x14ac:dyDescent="0.25">
      <c r="A66" s="233"/>
      <c r="B66" s="223"/>
      <c r="C66" s="223"/>
      <c r="D66" s="292"/>
      <c r="E66" s="258"/>
      <c r="F66" s="258"/>
      <c r="G66" s="224"/>
      <c r="H66" s="224"/>
      <c r="I66" s="225"/>
      <c r="J66" s="225"/>
      <c r="K66" s="225"/>
      <c r="L66" s="225"/>
      <c r="M66" s="225"/>
      <c r="N66" s="225"/>
      <c r="O66" s="225"/>
      <c r="P66" s="225"/>
      <c r="Q66" s="225"/>
      <c r="R66" s="225"/>
      <c r="S66" s="225"/>
      <c r="T66" s="225"/>
      <c r="U66" s="225"/>
      <c r="V66" s="222"/>
      <c r="W66" s="282"/>
    </row>
    <row r="67" spans="1:24" ht="45" x14ac:dyDescent="0.25">
      <c r="A67" s="233"/>
      <c r="B67" s="215" t="s">
        <v>345</v>
      </c>
      <c r="C67" s="233"/>
      <c r="D67" s="292"/>
      <c r="E67" s="236" t="s">
        <v>346</v>
      </c>
      <c r="F67" s="236" t="s">
        <v>677</v>
      </c>
      <c r="G67" s="216"/>
      <c r="H67" s="216"/>
      <c r="I67" s="217">
        <f t="shared" ref="I67:U68" si="23">I68</f>
        <v>42380300</v>
      </c>
      <c r="J67" s="217">
        <f t="shared" si="23"/>
        <v>2490436</v>
      </c>
      <c r="K67" s="217">
        <f t="shared" si="23"/>
        <v>37988508</v>
      </c>
      <c r="L67" s="217"/>
      <c r="M67" s="217"/>
      <c r="N67" s="217">
        <f t="shared" si="23"/>
        <v>40478944</v>
      </c>
      <c r="O67" s="217">
        <f t="shared" si="23"/>
        <v>1901356</v>
      </c>
      <c r="P67" s="217"/>
      <c r="Q67" s="217">
        <f t="shared" si="23"/>
        <v>0</v>
      </c>
      <c r="R67" s="217">
        <f t="shared" si="23"/>
        <v>40478944</v>
      </c>
      <c r="S67" s="217">
        <f t="shared" si="23"/>
        <v>0</v>
      </c>
      <c r="T67" s="217">
        <f t="shared" si="23"/>
        <v>0</v>
      </c>
      <c r="U67" s="217">
        <f t="shared" si="23"/>
        <v>0</v>
      </c>
      <c r="V67" s="222"/>
      <c r="W67" s="283"/>
    </row>
    <row r="68" spans="1:24" x14ac:dyDescent="0.25">
      <c r="A68" s="232"/>
      <c r="B68" s="215" t="s">
        <v>345</v>
      </c>
      <c r="C68" s="215" t="s">
        <v>332</v>
      </c>
      <c r="D68" s="214"/>
      <c r="E68" s="216" t="s">
        <v>66</v>
      </c>
      <c r="F68" s="236"/>
      <c r="G68" s="216"/>
      <c r="H68" s="216"/>
      <c r="I68" s="217">
        <f t="shared" si="23"/>
        <v>42380300</v>
      </c>
      <c r="J68" s="217">
        <f t="shared" si="23"/>
        <v>2490436</v>
      </c>
      <c r="K68" s="217">
        <f t="shared" si="23"/>
        <v>37988508</v>
      </c>
      <c r="L68" s="217"/>
      <c r="M68" s="217"/>
      <c r="N68" s="217">
        <f t="shared" si="23"/>
        <v>40478944</v>
      </c>
      <c r="O68" s="217">
        <f t="shared" si="23"/>
        <v>1901356</v>
      </c>
      <c r="P68" s="217"/>
      <c r="Q68" s="217">
        <f t="shared" si="23"/>
        <v>0</v>
      </c>
      <c r="R68" s="217">
        <f t="shared" si="23"/>
        <v>40478944</v>
      </c>
      <c r="S68" s="217">
        <f t="shared" si="23"/>
        <v>0</v>
      </c>
      <c r="T68" s="217">
        <f t="shared" si="23"/>
        <v>0</v>
      </c>
      <c r="U68" s="217">
        <f t="shared" si="23"/>
        <v>0</v>
      </c>
      <c r="V68" s="214"/>
      <c r="W68" s="283"/>
    </row>
    <row r="69" spans="1:24" ht="28.5" x14ac:dyDescent="0.25">
      <c r="A69" s="234"/>
      <c r="B69" s="219" t="s">
        <v>345</v>
      </c>
      <c r="C69" s="219" t="s">
        <v>347</v>
      </c>
      <c r="D69" s="218"/>
      <c r="E69" s="277" t="s">
        <v>348</v>
      </c>
      <c r="F69" s="277"/>
      <c r="G69" s="220"/>
      <c r="H69" s="220"/>
      <c r="I69" s="221">
        <f>SUM(I70:I73)</f>
        <v>42380300</v>
      </c>
      <c r="J69" s="221">
        <f>SUM(J70:J73)</f>
        <v>2490436</v>
      </c>
      <c r="K69" s="221">
        <f>SUM(K70:K73)</f>
        <v>37988508</v>
      </c>
      <c r="L69" s="221"/>
      <c r="M69" s="221"/>
      <c r="N69" s="221">
        <f>SUM(N70:N73)</f>
        <v>40478944</v>
      </c>
      <c r="O69" s="221">
        <f>SUM(O70:O73)</f>
        <v>1901356</v>
      </c>
      <c r="P69" s="221"/>
      <c r="Q69" s="221">
        <f t="shared" ref="Q69:U69" si="24">SUM(Q70:Q73)</f>
        <v>0</v>
      </c>
      <c r="R69" s="221">
        <f t="shared" si="24"/>
        <v>40478944</v>
      </c>
      <c r="S69" s="221">
        <f t="shared" si="24"/>
        <v>0</v>
      </c>
      <c r="T69" s="221">
        <f t="shared" si="24"/>
        <v>0</v>
      </c>
      <c r="U69" s="221">
        <f t="shared" si="24"/>
        <v>0</v>
      </c>
      <c r="V69" s="218"/>
      <c r="W69" s="283"/>
    </row>
    <row r="70" spans="1:24" x14ac:dyDescent="0.25">
      <c r="A70" s="233"/>
      <c r="B70" s="223" t="s">
        <v>345</v>
      </c>
      <c r="C70" s="223" t="s">
        <v>349</v>
      </c>
      <c r="D70" s="222"/>
      <c r="E70" s="224" t="s">
        <v>350</v>
      </c>
      <c r="F70" s="258"/>
      <c r="G70" s="224"/>
      <c r="H70" s="224"/>
      <c r="I70" s="225">
        <v>600000</v>
      </c>
      <c r="J70" s="225">
        <v>0</v>
      </c>
      <c r="K70" s="225">
        <f>[1]Nov!I65</f>
        <v>560900</v>
      </c>
      <c r="L70" s="225"/>
      <c r="M70" s="225"/>
      <c r="N70" s="225">
        <f t="shared" ref="N70:N73" si="25">J70+K70</f>
        <v>560900</v>
      </c>
      <c r="O70" s="225">
        <f t="shared" ref="O70:O73" si="26">I70-N70</f>
        <v>39100</v>
      </c>
      <c r="P70" s="225"/>
      <c r="Q70" s="225"/>
      <c r="R70" s="225">
        <f>N70</f>
        <v>560900</v>
      </c>
      <c r="S70" s="225"/>
      <c r="T70" s="225"/>
      <c r="U70" s="225"/>
      <c r="V70" s="222"/>
      <c r="W70" s="283"/>
    </row>
    <row r="71" spans="1:24" x14ac:dyDescent="0.25">
      <c r="A71" s="233"/>
      <c r="B71" s="223" t="s">
        <v>345</v>
      </c>
      <c r="C71" s="223" t="s">
        <v>351</v>
      </c>
      <c r="D71" s="222"/>
      <c r="E71" s="224" t="s">
        <v>352</v>
      </c>
      <c r="F71" s="258"/>
      <c r="G71" s="224"/>
      <c r="H71" s="224"/>
      <c r="I71" s="225">
        <v>9394700</v>
      </c>
      <c r="J71" s="225">
        <v>136400</v>
      </c>
      <c r="K71" s="225">
        <f>[1]Nov!I66</f>
        <v>9258300</v>
      </c>
      <c r="L71" s="225"/>
      <c r="M71" s="225"/>
      <c r="N71" s="225">
        <f t="shared" si="25"/>
        <v>9394700</v>
      </c>
      <c r="O71" s="225">
        <f t="shared" si="26"/>
        <v>0</v>
      </c>
      <c r="P71" s="225"/>
      <c r="Q71" s="225"/>
      <c r="R71" s="225">
        <f t="shared" ref="R71:R73" si="27">N71</f>
        <v>9394700</v>
      </c>
      <c r="S71" s="225"/>
      <c r="T71" s="225"/>
      <c r="U71" s="225"/>
      <c r="V71" s="222"/>
      <c r="W71" s="283"/>
    </row>
    <row r="72" spans="1:24" x14ac:dyDescent="0.25">
      <c r="A72" s="233"/>
      <c r="B72" s="223" t="s">
        <v>345</v>
      </c>
      <c r="C72" s="223" t="s">
        <v>353</v>
      </c>
      <c r="D72" s="222"/>
      <c r="E72" s="224" t="s">
        <v>354</v>
      </c>
      <c r="F72" s="258"/>
      <c r="G72" s="224"/>
      <c r="H72" s="224"/>
      <c r="I72" s="225">
        <v>2246400</v>
      </c>
      <c r="J72" s="225">
        <v>171162</v>
      </c>
      <c r="K72" s="225">
        <f>[1]Nov!I67</f>
        <v>1995048</v>
      </c>
      <c r="L72" s="225"/>
      <c r="M72" s="225"/>
      <c r="N72" s="225">
        <f t="shared" si="25"/>
        <v>2166210</v>
      </c>
      <c r="O72" s="225">
        <f t="shared" si="26"/>
        <v>80190</v>
      </c>
      <c r="P72" s="225"/>
      <c r="Q72" s="225"/>
      <c r="R72" s="225">
        <f t="shared" si="27"/>
        <v>2166210</v>
      </c>
      <c r="S72" s="225"/>
      <c r="T72" s="225"/>
      <c r="U72" s="225"/>
      <c r="V72" s="222"/>
      <c r="W72" s="283"/>
    </row>
    <row r="73" spans="1:24" x14ac:dyDescent="0.25">
      <c r="A73" s="233"/>
      <c r="B73" s="223" t="s">
        <v>345</v>
      </c>
      <c r="C73" s="223" t="s">
        <v>355</v>
      </c>
      <c r="D73" s="222"/>
      <c r="E73" s="224" t="s">
        <v>356</v>
      </c>
      <c r="F73" s="258"/>
      <c r="G73" s="224"/>
      <c r="H73" s="224"/>
      <c r="I73" s="225">
        <v>30139200</v>
      </c>
      <c r="J73" s="225">
        <v>2182874</v>
      </c>
      <c r="K73" s="225">
        <f>[1]Nov!I68</f>
        <v>26174260</v>
      </c>
      <c r="L73" s="225"/>
      <c r="M73" s="225"/>
      <c r="N73" s="225">
        <f t="shared" si="25"/>
        <v>28357134</v>
      </c>
      <c r="O73" s="225">
        <f t="shared" si="26"/>
        <v>1782066</v>
      </c>
      <c r="P73" s="225"/>
      <c r="Q73" s="225"/>
      <c r="R73" s="225">
        <f t="shared" si="27"/>
        <v>28357134</v>
      </c>
      <c r="S73" s="225"/>
      <c r="T73" s="225"/>
      <c r="U73" s="225"/>
      <c r="V73" s="222"/>
      <c r="W73" s="281"/>
    </row>
    <row r="74" spans="1:24" x14ac:dyDescent="0.25">
      <c r="A74" s="233"/>
      <c r="B74" s="223"/>
      <c r="C74" s="223"/>
      <c r="D74" s="222"/>
      <c r="E74" s="224"/>
      <c r="F74" s="258"/>
      <c r="G74" s="224"/>
      <c r="H74" s="224"/>
      <c r="I74" s="225"/>
      <c r="J74" s="225"/>
      <c r="K74" s="225"/>
      <c r="L74" s="225"/>
      <c r="M74" s="225"/>
      <c r="N74" s="225"/>
      <c r="O74" s="225"/>
      <c r="P74" s="225"/>
      <c r="Q74" s="225"/>
      <c r="R74" s="225"/>
      <c r="S74" s="225"/>
      <c r="T74" s="225"/>
      <c r="U74" s="225"/>
      <c r="V74" s="222"/>
      <c r="W74" s="282"/>
    </row>
    <row r="75" spans="1:24" ht="45" x14ac:dyDescent="0.25">
      <c r="A75" s="233"/>
      <c r="B75" s="235" t="s">
        <v>357</v>
      </c>
      <c r="C75" s="233"/>
      <c r="D75" s="222"/>
      <c r="E75" s="236" t="s">
        <v>358</v>
      </c>
      <c r="F75" s="236" t="s">
        <v>678</v>
      </c>
      <c r="G75" s="236"/>
      <c r="H75" s="236"/>
      <c r="I75" s="237">
        <f>I76</f>
        <v>38405140</v>
      </c>
      <c r="J75" s="237">
        <f>J76</f>
        <v>7272860</v>
      </c>
      <c r="K75" s="237">
        <f>K76</f>
        <v>28065300</v>
      </c>
      <c r="L75" s="237"/>
      <c r="M75" s="237"/>
      <c r="N75" s="237">
        <f>N76</f>
        <v>35338160</v>
      </c>
      <c r="O75" s="237">
        <f>O76</f>
        <v>3066980</v>
      </c>
      <c r="P75" s="237"/>
      <c r="Q75" s="237">
        <f t="shared" ref="Q75:U75" si="28">Q76</f>
        <v>0</v>
      </c>
      <c r="R75" s="237">
        <f t="shared" si="28"/>
        <v>22380200</v>
      </c>
      <c r="S75" s="237">
        <f t="shared" si="28"/>
        <v>300000</v>
      </c>
      <c r="T75" s="237">
        <f t="shared" si="28"/>
        <v>338000</v>
      </c>
      <c r="U75" s="237">
        <f t="shared" si="28"/>
        <v>12319960</v>
      </c>
      <c r="V75" s="222"/>
      <c r="W75" s="283"/>
    </row>
    <row r="76" spans="1:24" x14ac:dyDescent="0.25">
      <c r="A76" s="232"/>
      <c r="B76" s="215" t="s">
        <v>357</v>
      </c>
      <c r="C76" s="215" t="s">
        <v>359</v>
      </c>
      <c r="D76" s="214"/>
      <c r="E76" s="216" t="s">
        <v>67</v>
      </c>
      <c r="F76" s="236"/>
      <c r="G76" s="216"/>
      <c r="H76" s="216"/>
      <c r="I76" s="217">
        <f>I77+I82+I84+I87</f>
        <v>38405140</v>
      </c>
      <c r="J76" s="217">
        <f>J77+J82+J84+J87</f>
        <v>7272860</v>
      </c>
      <c r="K76" s="217">
        <f>K77+K82+K84+K87</f>
        <v>28065300</v>
      </c>
      <c r="L76" s="217"/>
      <c r="M76" s="217"/>
      <c r="N76" s="217">
        <f>N77+N82+N84+N87</f>
        <v>35338160</v>
      </c>
      <c r="O76" s="217">
        <f>O77+O82+O84+O87</f>
        <v>3066980</v>
      </c>
      <c r="P76" s="217"/>
      <c r="Q76" s="217">
        <f t="shared" ref="Q76:U76" si="29">Q77+Q82+Q84+Q87</f>
        <v>0</v>
      </c>
      <c r="R76" s="217">
        <f t="shared" si="29"/>
        <v>22380200</v>
      </c>
      <c r="S76" s="217">
        <f t="shared" si="29"/>
        <v>300000</v>
      </c>
      <c r="T76" s="217">
        <f t="shared" si="29"/>
        <v>338000</v>
      </c>
      <c r="U76" s="217">
        <f t="shared" si="29"/>
        <v>12319960</v>
      </c>
      <c r="V76" s="214"/>
      <c r="W76" s="283"/>
    </row>
    <row r="77" spans="1:24" x14ac:dyDescent="0.25">
      <c r="A77" s="234"/>
      <c r="B77" s="219" t="s">
        <v>357</v>
      </c>
      <c r="C77" s="219" t="s">
        <v>360</v>
      </c>
      <c r="D77" s="218"/>
      <c r="E77" s="277" t="s">
        <v>361</v>
      </c>
      <c r="F77" s="277"/>
      <c r="G77" s="220"/>
      <c r="H77" s="220"/>
      <c r="I77" s="221">
        <f>SUM(I78:I81)</f>
        <v>19965140</v>
      </c>
      <c r="J77" s="221">
        <f>SUM(J78:J81)</f>
        <v>3832500</v>
      </c>
      <c r="K77" s="221">
        <f>SUM(K78:K81)</f>
        <v>15166200</v>
      </c>
      <c r="L77" s="221"/>
      <c r="M77" s="221"/>
      <c r="N77" s="221">
        <f>SUM(N78:N81)</f>
        <v>18998700</v>
      </c>
      <c r="O77" s="221">
        <f>SUM(O78:O81)</f>
        <v>966440</v>
      </c>
      <c r="P77" s="221"/>
      <c r="Q77" s="221">
        <f t="shared" ref="Q77:U77" si="30">SUM(Q78:Q81)</f>
        <v>0</v>
      </c>
      <c r="R77" s="221">
        <f t="shared" si="30"/>
        <v>10106700</v>
      </c>
      <c r="S77" s="221">
        <f t="shared" si="30"/>
        <v>300000</v>
      </c>
      <c r="T77" s="221">
        <f t="shared" si="30"/>
        <v>338000</v>
      </c>
      <c r="U77" s="221">
        <f t="shared" si="30"/>
        <v>8254000</v>
      </c>
      <c r="V77" s="218"/>
      <c r="W77" s="283"/>
    </row>
    <row r="78" spans="1:24" ht="30" x14ac:dyDescent="0.25">
      <c r="A78" s="233"/>
      <c r="B78" s="223" t="s">
        <v>357</v>
      </c>
      <c r="C78" s="223" t="s">
        <v>362</v>
      </c>
      <c r="D78" s="222"/>
      <c r="E78" s="258" t="s">
        <v>363</v>
      </c>
      <c r="F78" s="258"/>
      <c r="G78" s="224"/>
      <c r="H78" s="224"/>
      <c r="I78" s="225">
        <v>8059900</v>
      </c>
      <c r="J78" s="225">
        <v>1059500</v>
      </c>
      <c r="K78" s="225">
        <f>[1]Nov!I73</f>
        <v>7000000</v>
      </c>
      <c r="L78" s="225"/>
      <c r="M78" s="225"/>
      <c r="N78" s="225">
        <f t="shared" ref="N78:N81" si="31">J78+K78</f>
        <v>8059500</v>
      </c>
      <c r="O78" s="225">
        <f t="shared" ref="O78:O81" si="32">I78-N78</f>
        <v>400</v>
      </c>
      <c r="P78" s="225"/>
      <c r="Q78" s="225"/>
      <c r="R78" s="225">
        <f>N78-U78</f>
        <v>2305000</v>
      </c>
      <c r="S78" s="225"/>
      <c r="T78" s="225">
        <f t="shared" ref="T78:T81" si="33">P78+Q78</f>
        <v>0</v>
      </c>
      <c r="U78" s="225">
        <f>4404500+1350000</f>
        <v>5754500</v>
      </c>
      <c r="V78" s="222"/>
      <c r="W78" s="283">
        <v>400</v>
      </c>
      <c r="X78" s="9">
        <f>R78+U78</f>
        <v>8059500</v>
      </c>
    </row>
    <row r="79" spans="1:24" ht="30" x14ac:dyDescent="0.25">
      <c r="A79" s="233"/>
      <c r="B79" s="223" t="s">
        <v>357</v>
      </c>
      <c r="C79" s="223" t="s">
        <v>364</v>
      </c>
      <c r="D79" s="222"/>
      <c r="E79" s="258" t="s">
        <v>365</v>
      </c>
      <c r="F79" s="258"/>
      <c r="G79" s="224"/>
      <c r="H79" s="224"/>
      <c r="I79" s="225">
        <v>885000</v>
      </c>
      <c r="J79" s="225">
        <v>0</v>
      </c>
      <c r="K79" s="225">
        <f>[1]Nov!I74</f>
        <v>885000</v>
      </c>
      <c r="L79" s="225"/>
      <c r="M79" s="225"/>
      <c r="N79" s="225">
        <f t="shared" si="31"/>
        <v>885000</v>
      </c>
      <c r="O79" s="225">
        <f t="shared" si="32"/>
        <v>0</v>
      </c>
      <c r="P79" s="225"/>
      <c r="Q79" s="225"/>
      <c r="R79" s="225">
        <f>N79-T79</f>
        <v>547000</v>
      </c>
      <c r="S79" s="225">
        <f t="shared" ref="S79" si="34">O79+P79</f>
        <v>0</v>
      </c>
      <c r="T79" s="225">
        <v>338000</v>
      </c>
      <c r="U79" s="225"/>
      <c r="V79" s="222"/>
      <c r="W79" s="282"/>
    </row>
    <row r="80" spans="1:24" ht="30" x14ac:dyDescent="0.25">
      <c r="A80" s="233"/>
      <c r="B80" s="223" t="s">
        <v>357</v>
      </c>
      <c r="C80" s="223" t="s">
        <v>366</v>
      </c>
      <c r="D80" s="222"/>
      <c r="E80" s="258" t="s">
        <v>367</v>
      </c>
      <c r="F80" s="258"/>
      <c r="G80" s="224"/>
      <c r="H80" s="224"/>
      <c r="I80" s="225">
        <v>3164240</v>
      </c>
      <c r="J80" s="225">
        <v>1364000</v>
      </c>
      <c r="K80" s="225">
        <f>[1]Nov!I75</f>
        <v>1800000</v>
      </c>
      <c r="L80" s="225"/>
      <c r="M80" s="225"/>
      <c r="N80" s="225">
        <f t="shared" si="31"/>
        <v>3164000</v>
      </c>
      <c r="O80" s="225">
        <f t="shared" si="32"/>
        <v>240</v>
      </c>
      <c r="P80" s="225"/>
      <c r="Q80" s="225"/>
      <c r="R80" s="225">
        <v>364500</v>
      </c>
      <c r="S80" s="225">
        <v>300000</v>
      </c>
      <c r="T80" s="225">
        <f t="shared" si="33"/>
        <v>0</v>
      </c>
      <c r="U80" s="225">
        <f>174500+2325000</f>
        <v>2499500</v>
      </c>
      <c r="V80" s="222"/>
      <c r="W80" s="283">
        <v>135</v>
      </c>
      <c r="X80" s="9"/>
    </row>
    <row r="81" spans="1:23" ht="30" x14ac:dyDescent="0.25">
      <c r="A81" s="233"/>
      <c r="B81" s="223" t="s">
        <v>357</v>
      </c>
      <c r="C81" s="223" t="s">
        <v>368</v>
      </c>
      <c r="D81" s="222"/>
      <c r="E81" s="258" t="s">
        <v>369</v>
      </c>
      <c r="F81" s="258"/>
      <c r="G81" s="224"/>
      <c r="H81" s="224"/>
      <c r="I81" s="225">
        <v>7856000</v>
      </c>
      <c r="J81" s="225">
        <f>847000+121000+121000+320000</f>
        <v>1409000</v>
      </c>
      <c r="K81" s="225">
        <f>[1]Nov!I76</f>
        <v>5481200</v>
      </c>
      <c r="L81" s="225"/>
      <c r="M81" s="225"/>
      <c r="N81" s="225">
        <f t="shared" si="31"/>
        <v>6890200</v>
      </c>
      <c r="O81" s="225">
        <f t="shared" si="32"/>
        <v>965800</v>
      </c>
      <c r="P81" s="225"/>
      <c r="Q81" s="225"/>
      <c r="R81" s="225">
        <f>N81</f>
        <v>6890200</v>
      </c>
      <c r="S81" s="225"/>
      <c r="T81" s="225">
        <f t="shared" si="33"/>
        <v>0</v>
      </c>
      <c r="U81" s="225"/>
      <c r="V81" s="222"/>
      <c r="W81" s="282"/>
    </row>
    <row r="82" spans="1:23" x14ac:dyDescent="0.25">
      <c r="A82" s="234"/>
      <c r="B82" s="219" t="s">
        <v>357</v>
      </c>
      <c r="C82" s="219" t="s">
        <v>370</v>
      </c>
      <c r="D82" s="218"/>
      <c r="E82" s="277" t="s">
        <v>81</v>
      </c>
      <c r="F82" s="277"/>
      <c r="G82" s="220"/>
      <c r="H82" s="220"/>
      <c r="I82" s="221">
        <f>SUM(I83)</f>
        <v>12100000</v>
      </c>
      <c r="J82" s="221">
        <f>SUM(J83)</f>
        <v>2200000</v>
      </c>
      <c r="K82" s="221">
        <f>SUM(K83)</f>
        <v>9900000</v>
      </c>
      <c r="L82" s="221"/>
      <c r="M82" s="221"/>
      <c r="N82" s="221">
        <f>SUM(N83)</f>
        <v>12100000</v>
      </c>
      <c r="O82" s="221">
        <f>SUM(O83)</f>
        <v>0</v>
      </c>
      <c r="P82" s="221"/>
      <c r="Q82" s="221">
        <f t="shared" ref="Q82:U82" si="35">SUM(Q83)</f>
        <v>0</v>
      </c>
      <c r="R82" s="221">
        <f t="shared" si="35"/>
        <v>12100000</v>
      </c>
      <c r="S82" s="221">
        <f t="shared" si="35"/>
        <v>0</v>
      </c>
      <c r="T82" s="221">
        <f t="shared" si="35"/>
        <v>0</v>
      </c>
      <c r="U82" s="221">
        <f t="shared" si="35"/>
        <v>0</v>
      </c>
      <c r="V82" s="218"/>
      <c r="W82" s="283"/>
    </row>
    <row r="83" spans="1:23" ht="30" x14ac:dyDescent="0.25">
      <c r="A83" s="233"/>
      <c r="B83" s="223" t="s">
        <v>357</v>
      </c>
      <c r="C83" s="223" t="s">
        <v>371</v>
      </c>
      <c r="D83" s="222"/>
      <c r="E83" s="258" t="s">
        <v>372</v>
      </c>
      <c r="F83" s="258"/>
      <c r="G83" s="224"/>
      <c r="H83" s="224"/>
      <c r="I83" s="225">
        <v>12100000</v>
      </c>
      <c r="J83" s="225">
        <v>2200000</v>
      </c>
      <c r="K83" s="225">
        <f>[1]Nov!I78</f>
        <v>9900000</v>
      </c>
      <c r="L83" s="225"/>
      <c r="M83" s="225"/>
      <c r="N83" s="225">
        <f>J83+K83</f>
        <v>12100000</v>
      </c>
      <c r="O83" s="225">
        <f>I83-N83</f>
        <v>0</v>
      </c>
      <c r="P83" s="225"/>
      <c r="Q83" s="225"/>
      <c r="R83" s="225">
        <f t="shared" ref="R83:T83" si="36">N83+O83</f>
        <v>12100000</v>
      </c>
      <c r="S83" s="225">
        <f t="shared" si="36"/>
        <v>0</v>
      </c>
      <c r="T83" s="225">
        <f t="shared" si="36"/>
        <v>0</v>
      </c>
      <c r="U83" s="225"/>
      <c r="V83" s="222"/>
      <c r="W83" s="283"/>
    </row>
    <row r="84" spans="1:23" x14ac:dyDescent="0.25">
      <c r="A84" s="234"/>
      <c r="B84" s="219" t="s">
        <v>357</v>
      </c>
      <c r="C84" s="219" t="s">
        <v>373</v>
      </c>
      <c r="D84" s="218"/>
      <c r="E84" s="277" t="s">
        <v>145</v>
      </c>
      <c r="F84" s="277"/>
      <c r="G84" s="220"/>
      <c r="H84" s="220"/>
      <c r="I84" s="221">
        <f>SUM(I85:I86)</f>
        <v>3150000</v>
      </c>
      <c r="J84" s="221">
        <f>SUM(J85:J86)</f>
        <v>700000</v>
      </c>
      <c r="K84" s="221">
        <f>SUM(K85:K86)</f>
        <v>2450000</v>
      </c>
      <c r="L84" s="221"/>
      <c r="M84" s="221"/>
      <c r="N84" s="221">
        <f>SUM(N85:N86)</f>
        <v>3150000</v>
      </c>
      <c r="O84" s="221">
        <f>SUM(O85:O86)</f>
        <v>0</v>
      </c>
      <c r="P84" s="221"/>
      <c r="Q84" s="221">
        <f t="shared" ref="Q84:U84" si="37">SUM(Q85:Q86)</f>
        <v>0</v>
      </c>
      <c r="R84" s="221">
        <f t="shared" si="37"/>
        <v>0</v>
      </c>
      <c r="S84" s="221">
        <f t="shared" si="37"/>
        <v>0</v>
      </c>
      <c r="T84" s="221">
        <f t="shared" si="37"/>
        <v>0</v>
      </c>
      <c r="U84" s="221">
        <f t="shared" si="37"/>
        <v>3150000</v>
      </c>
      <c r="V84" s="218"/>
      <c r="W84" s="282"/>
    </row>
    <row r="85" spans="1:23" ht="30" x14ac:dyDescent="0.25">
      <c r="A85" s="233"/>
      <c r="B85" s="223" t="s">
        <v>357</v>
      </c>
      <c r="C85" s="223" t="s">
        <v>374</v>
      </c>
      <c r="D85" s="222"/>
      <c r="E85" s="258" t="s">
        <v>375</v>
      </c>
      <c r="F85" s="258"/>
      <c r="G85" s="224"/>
      <c r="H85" s="224"/>
      <c r="I85" s="225">
        <v>2400000</v>
      </c>
      <c r="J85" s="225">
        <v>0</v>
      </c>
      <c r="K85" s="225">
        <f>[1]Nov!I80</f>
        <v>2400000</v>
      </c>
      <c r="L85" s="225"/>
      <c r="M85" s="225"/>
      <c r="N85" s="225">
        <f t="shared" ref="N85:N86" si="38">J85+K85</f>
        <v>2400000</v>
      </c>
      <c r="O85" s="225">
        <f t="shared" ref="O85:O86" si="39">I85-N85</f>
        <v>0</v>
      </c>
      <c r="P85" s="225"/>
      <c r="Q85" s="225"/>
      <c r="R85" s="225"/>
      <c r="S85" s="225">
        <f t="shared" ref="S85:S86" si="40">O85+P85</f>
        <v>0</v>
      </c>
      <c r="T85" s="225">
        <f t="shared" ref="T85:T86" si="41">P85+Q85</f>
        <v>0</v>
      </c>
      <c r="U85" s="225">
        <v>2400000</v>
      </c>
      <c r="V85" s="222"/>
      <c r="W85" s="283"/>
    </row>
    <row r="86" spans="1:23" ht="30" x14ac:dyDescent="0.25">
      <c r="A86" s="233"/>
      <c r="B86" s="223" t="s">
        <v>357</v>
      </c>
      <c r="C86" s="223" t="s">
        <v>376</v>
      </c>
      <c r="D86" s="222"/>
      <c r="E86" s="258" t="s">
        <v>377</v>
      </c>
      <c r="F86" s="258"/>
      <c r="G86" s="224"/>
      <c r="H86" s="224"/>
      <c r="I86" s="225">
        <v>750000</v>
      </c>
      <c r="J86" s="225">
        <v>700000</v>
      </c>
      <c r="K86" s="225">
        <f>[1]Nov!I81</f>
        <v>50000</v>
      </c>
      <c r="L86" s="225"/>
      <c r="M86" s="225"/>
      <c r="N86" s="225">
        <f t="shared" si="38"/>
        <v>750000</v>
      </c>
      <c r="O86" s="225">
        <f t="shared" si="39"/>
        <v>0</v>
      </c>
      <c r="P86" s="225"/>
      <c r="Q86" s="225"/>
      <c r="R86" s="225"/>
      <c r="S86" s="225">
        <f t="shared" si="40"/>
        <v>0</v>
      </c>
      <c r="T86" s="225">
        <f t="shared" si="41"/>
        <v>0</v>
      </c>
      <c r="U86" s="225">
        <v>750000</v>
      </c>
      <c r="V86" s="222"/>
      <c r="W86" s="283"/>
    </row>
    <row r="87" spans="1:23" x14ac:dyDescent="0.25">
      <c r="A87" s="234"/>
      <c r="B87" s="219" t="s">
        <v>357</v>
      </c>
      <c r="C87" s="219" t="s">
        <v>378</v>
      </c>
      <c r="D87" s="218"/>
      <c r="E87" s="220" t="s">
        <v>78</v>
      </c>
      <c r="F87" s="277"/>
      <c r="G87" s="220"/>
      <c r="H87" s="220"/>
      <c r="I87" s="221">
        <f>SUM(I88:I91)</f>
        <v>3190000</v>
      </c>
      <c r="J87" s="221">
        <f>SUM(J88:J91)</f>
        <v>540360</v>
      </c>
      <c r="K87" s="221">
        <f>SUM(K88:K91)</f>
        <v>549100</v>
      </c>
      <c r="L87" s="221"/>
      <c r="M87" s="221"/>
      <c r="N87" s="221">
        <f>SUM(N88:N91)</f>
        <v>1089460</v>
      </c>
      <c r="O87" s="221">
        <f>SUM(O88:O91)</f>
        <v>2100540</v>
      </c>
      <c r="P87" s="221"/>
      <c r="Q87" s="221">
        <f t="shared" ref="Q87:U87" si="42">SUM(Q88:Q91)</f>
        <v>0</v>
      </c>
      <c r="R87" s="221">
        <f t="shared" si="42"/>
        <v>173500</v>
      </c>
      <c r="S87" s="221">
        <f t="shared" si="42"/>
        <v>0</v>
      </c>
      <c r="T87" s="221">
        <f t="shared" si="42"/>
        <v>0</v>
      </c>
      <c r="U87" s="221">
        <f t="shared" si="42"/>
        <v>915960</v>
      </c>
      <c r="V87" s="218"/>
      <c r="W87" s="283"/>
    </row>
    <row r="88" spans="1:23" x14ac:dyDescent="0.25">
      <c r="A88" s="233"/>
      <c r="B88" s="223" t="s">
        <v>357</v>
      </c>
      <c r="C88" s="223" t="s">
        <v>379</v>
      </c>
      <c r="D88" s="222"/>
      <c r="E88" s="224" t="s">
        <v>380</v>
      </c>
      <c r="F88" s="258"/>
      <c r="G88" s="224"/>
      <c r="H88" s="224"/>
      <c r="I88" s="225">
        <v>600000</v>
      </c>
      <c r="J88" s="225">
        <v>206860</v>
      </c>
      <c r="K88" s="225">
        <f>[1]Nov!I83</f>
        <v>349100</v>
      </c>
      <c r="L88" s="225"/>
      <c r="M88" s="225"/>
      <c r="N88" s="225">
        <f t="shared" ref="N88:N91" si="43">J88+K88</f>
        <v>555960</v>
      </c>
      <c r="O88" s="225">
        <f t="shared" ref="O88:O91" si="44">I88-N88</f>
        <v>44040</v>
      </c>
      <c r="P88" s="225"/>
      <c r="Q88" s="225"/>
      <c r="R88" s="225"/>
      <c r="S88" s="225"/>
      <c r="T88" s="225">
        <f t="shared" ref="T88:T91" si="45">P88+Q88</f>
        <v>0</v>
      </c>
      <c r="U88" s="225">
        <f>N88</f>
        <v>555960</v>
      </c>
      <c r="V88" s="222"/>
      <c r="W88" s="283">
        <v>44040</v>
      </c>
    </row>
    <row r="89" spans="1:23" x14ac:dyDescent="0.25">
      <c r="A89" s="233"/>
      <c r="B89" s="223" t="s">
        <v>357</v>
      </c>
      <c r="C89" s="223" t="s">
        <v>381</v>
      </c>
      <c r="D89" s="222"/>
      <c r="E89" s="224" t="s">
        <v>382</v>
      </c>
      <c r="F89" s="258"/>
      <c r="G89" s="224"/>
      <c r="H89" s="224"/>
      <c r="I89" s="225">
        <v>360000</v>
      </c>
      <c r="J89" s="225">
        <v>240000</v>
      </c>
      <c r="K89" s="225">
        <f>[1]Nov!I84</f>
        <v>120000</v>
      </c>
      <c r="L89" s="225"/>
      <c r="M89" s="225"/>
      <c r="N89" s="225">
        <f t="shared" si="43"/>
        <v>360000</v>
      </c>
      <c r="O89" s="225">
        <f t="shared" si="44"/>
        <v>0</v>
      </c>
      <c r="P89" s="225"/>
      <c r="Q89" s="225"/>
      <c r="R89" s="225"/>
      <c r="S89" s="225">
        <f t="shared" ref="S89" si="46">O89+P89</f>
        <v>0</v>
      </c>
      <c r="T89" s="225">
        <f t="shared" si="45"/>
        <v>0</v>
      </c>
      <c r="U89" s="225">
        <v>360000</v>
      </c>
      <c r="V89" s="222"/>
      <c r="W89" s="283"/>
    </row>
    <row r="90" spans="1:23" x14ac:dyDescent="0.25">
      <c r="A90" s="233"/>
      <c r="B90" s="223" t="s">
        <v>357</v>
      </c>
      <c r="C90" s="223" t="s">
        <v>383</v>
      </c>
      <c r="D90" s="222"/>
      <c r="E90" s="224" t="s">
        <v>384</v>
      </c>
      <c r="F90" s="258"/>
      <c r="G90" s="224"/>
      <c r="H90" s="224"/>
      <c r="I90" s="225">
        <v>1680000</v>
      </c>
      <c r="J90" s="225">
        <v>0</v>
      </c>
      <c r="K90" s="225">
        <f>[1]Nov!I85</f>
        <v>0</v>
      </c>
      <c r="L90" s="225"/>
      <c r="M90" s="225"/>
      <c r="N90" s="225">
        <f t="shared" si="43"/>
        <v>0</v>
      </c>
      <c r="O90" s="225">
        <f t="shared" si="44"/>
        <v>1680000</v>
      </c>
      <c r="P90" s="225"/>
      <c r="Q90" s="225">
        <f t="shared" ref="Q90" si="47">M90+N90</f>
        <v>0</v>
      </c>
      <c r="R90" s="225"/>
      <c r="S90" s="225"/>
      <c r="T90" s="225">
        <f t="shared" si="45"/>
        <v>0</v>
      </c>
      <c r="U90" s="225"/>
      <c r="V90" s="222"/>
      <c r="W90" s="283">
        <v>1680000</v>
      </c>
    </row>
    <row r="91" spans="1:23" x14ac:dyDescent="0.25">
      <c r="A91" s="227"/>
      <c r="B91" s="244" t="s">
        <v>357</v>
      </c>
      <c r="C91" s="244" t="s">
        <v>385</v>
      </c>
      <c r="D91" s="245"/>
      <c r="E91" s="246" t="s">
        <v>386</v>
      </c>
      <c r="F91" s="295"/>
      <c r="G91" s="246"/>
      <c r="H91" s="246"/>
      <c r="I91" s="247">
        <v>550000</v>
      </c>
      <c r="J91" s="247">
        <v>93500</v>
      </c>
      <c r="K91" s="247">
        <f>[1]Nov!I86</f>
        <v>80000</v>
      </c>
      <c r="L91" s="247"/>
      <c r="M91" s="247"/>
      <c r="N91" s="247">
        <f t="shared" si="43"/>
        <v>173500</v>
      </c>
      <c r="O91" s="247">
        <f t="shared" si="44"/>
        <v>376500</v>
      </c>
      <c r="P91" s="247"/>
      <c r="Q91" s="247"/>
      <c r="R91" s="247">
        <f>N91</f>
        <v>173500</v>
      </c>
      <c r="S91" s="247"/>
      <c r="T91" s="247">
        <f t="shared" si="45"/>
        <v>0</v>
      </c>
      <c r="U91" s="247"/>
      <c r="V91" s="245"/>
      <c r="W91" s="281"/>
    </row>
    <row r="92" spans="1:23" x14ac:dyDescent="0.25">
      <c r="A92" s="238"/>
      <c r="B92" s="289"/>
      <c r="C92" s="289"/>
      <c r="D92" s="265"/>
      <c r="E92" s="290"/>
      <c r="F92" s="297"/>
      <c r="G92" s="290"/>
      <c r="H92" s="290"/>
      <c r="I92" s="270"/>
      <c r="J92" s="270"/>
      <c r="K92" s="270"/>
      <c r="L92" s="270"/>
      <c r="M92" s="270"/>
      <c r="N92" s="270"/>
      <c r="O92" s="270"/>
      <c r="P92" s="270"/>
      <c r="Q92" s="270"/>
      <c r="R92" s="270"/>
      <c r="S92" s="270"/>
      <c r="T92" s="270"/>
      <c r="U92" s="270"/>
      <c r="V92" s="265"/>
      <c r="W92" s="282"/>
    </row>
    <row r="93" spans="1:23" ht="45" x14ac:dyDescent="0.25">
      <c r="A93" s="240"/>
      <c r="B93" s="211" t="s">
        <v>387</v>
      </c>
      <c r="C93" s="240"/>
      <c r="D93" s="230"/>
      <c r="E93" s="212" t="s">
        <v>388</v>
      </c>
      <c r="F93" s="314" t="s">
        <v>679</v>
      </c>
      <c r="G93" s="212"/>
      <c r="H93" s="212"/>
      <c r="I93" s="241">
        <f t="shared" ref="I93:U94" si="48">I94</f>
        <v>42250000</v>
      </c>
      <c r="J93" s="241">
        <f t="shared" si="48"/>
        <v>3250000</v>
      </c>
      <c r="K93" s="241">
        <f t="shared" si="48"/>
        <v>39000000</v>
      </c>
      <c r="L93" s="241"/>
      <c r="M93" s="241"/>
      <c r="N93" s="241">
        <f t="shared" si="48"/>
        <v>42250000</v>
      </c>
      <c r="O93" s="241">
        <f t="shared" si="48"/>
        <v>0</v>
      </c>
      <c r="P93" s="241"/>
      <c r="Q93" s="241">
        <f t="shared" si="48"/>
        <v>0</v>
      </c>
      <c r="R93" s="241">
        <f t="shared" si="48"/>
        <v>42250000</v>
      </c>
      <c r="S93" s="241">
        <f t="shared" si="48"/>
        <v>0</v>
      </c>
      <c r="T93" s="241">
        <f t="shared" si="48"/>
        <v>0</v>
      </c>
      <c r="U93" s="241">
        <f t="shared" si="48"/>
        <v>0</v>
      </c>
      <c r="V93" s="230"/>
      <c r="W93" s="283"/>
    </row>
    <row r="94" spans="1:23" x14ac:dyDescent="0.25">
      <c r="A94" s="232"/>
      <c r="B94" s="215" t="s">
        <v>387</v>
      </c>
      <c r="C94" s="215" t="s">
        <v>332</v>
      </c>
      <c r="D94" s="214"/>
      <c r="E94" s="216" t="s">
        <v>66</v>
      </c>
      <c r="F94" s="236"/>
      <c r="G94" s="216"/>
      <c r="H94" s="216"/>
      <c r="I94" s="217">
        <f t="shared" si="48"/>
        <v>42250000</v>
      </c>
      <c r="J94" s="217">
        <f t="shared" si="48"/>
        <v>3250000</v>
      </c>
      <c r="K94" s="217">
        <f t="shared" si="48"/>
        <v>39000000</v>
      </c>
      <c r="L94" s="217"/>
      <c r="M94" s="217"/>
      <c r="N94" s="217">
        <f t="shared" si="48"/>
        <v>42250000</v>
      </c>
      <c r="O94" s="217">
        <f t="shared" si="48"/>
        <v>0</v>
      </c>
      <c r="P94" s="217"/>
      <c r="Q94" s="217">
        <f t="shared" si="48"/>
        <v>0</v>
      </c>
      <c r="R94" s="217">
        <f t="shared" si="48"/>
        <v>42250000</v>
      </c>
      <c r="S94" s="217">
        <f t="shared" si="48"/>
        <v>0</v>
      </c>
      <c r="T94" s="217">
        <f t="shared" si="48"/>
        <v>0</v>
      </c>
      <c r="U94" s="217">
        <f t="shared" si="48"/>
        <v>0</v>
      </c>
      <c r="V94" s="214"/>
      <c r="W94" s="283"/>
    </row>
    <row r="95" spans="1:23" ht="45" x14ac:dyDescent="0.25">
      <c r="A95" s="234"/>
      <c r="B95" s="219" t="s">
        <v>387</v>
      </c>
      <c r="C95" s="219" t="s">
        <v>389</v>
      </c>
      <c r="D95" s="218"/>
      <c r="E95" s="220" t="s">
        <v>146</v>
      </c>
      <c r="F95" s="236" t="s">
        <v>681</v>
      </c>
      <c r="G95" s="220"/>
      <c r="H95" s="220"/>
      <c r="I95" s="221">
        <f>SUM(I96:I97)</f>
        <v>42250000</v>
      </c>
      <c r="J95" s="221">
        <f>SUM(J96:J97)</f>
        <v>3250000</v>
      </c>
      <c r="K95" s="221">
        <f>SUM(K96:K97)</f>
        <v>39000000</v>
      </c>
      <c r="L95" s="221"/>
      <c r="M95" s="221"/>
      <c r="N95" s="221">
        <f>SUM(N96:N97)</f>
        <v>42250000</v>
      </c>
      <c r="O95" s="221">
        <f>SUM(O96:O97)</f>
        <v>0</v>
      </c>
      <c r="P95" s="221"/>
      <c r="Q95" s="221">
        <f t="shared" ref="Q95:U95" si="49">SUM(Q96:Q97)</f>
        <v>0</v>
      </c>
      <c r="R95" s="221">
        <f t="shared" si="49"/>
        <v>42250000</v>
      </c>
      <c r="S95" s="221">
        <f t="shared" si="49"/>
        <v>0</v>
      </c>
      <c r="T95" s="221">
        <f t="shared" si="49"/>
        <v>0</v>
      </c>
      <c r="U95" s="221">
        <f t="shared" si="49"/>
        <v>0</v>
      </c>
      <c r="V95" s="218"/>
      <c r="W95" s="283"/>
    </row>
    <row r="96" spans="1:23" x14ac:dyDescent="0.25">
      <c r="A96" s="233"/>
      <c r="B96" s="223" t="s">
        <v>387</v>
      </c>
      <c r="C96" s="223" t="s">
        <v>390</v>
      </c>
      <c r="D96" s="222"/>
      <c r="E96" s="224" t="s">
        <v>391</v>
      </c>
      <c r="F96" s="258"/>
      <c r="G96" s="224"/>
      <c r="H96" s="224"/>
      <c r="I96" s="225">
        <v>39000000</v>
      </c>
      <c r="J96" s="225">
        <v>3250000</v>
      </c>
      <c r="K96" s="225">
        <f>[1]Nov!I94</f>
        <v>35750000</v>
      </c>
      <c r="L96" s="225"/>
      <c r="M96" s="225"/>
      <c r="N96" s="225">
        <f t="shared" ref="N96:N97" si="50">J96+K96</f>
        <v>39000000</v>
      </c>
      <c r="O96" s="225">
        <f t="shared" ref="O96:O97" si="51">I96-N96</f>
        <v>0</v>
      </c>
      <c r="P96" s="225"/>
      <c r="Q96" s="225"/>
      <c r="R96" s="225">
        <f>N96</f>
        <v>39000000</v>
      </c>
      <c r="S96" s="225"/>
      <c r="T96" s="225"/>
      <c r="U96" s="225"/>
      <c r="V96" s="222"/>
      <c r="W96" s="283"/>
    </row>
    <row r="97" spans="1:24" x14ac:dyDescent="0.25">
      <c r="A97" s="233"/>
      <c r="B97" s="223" t="s">
        <v>387</v>
      </c>
      <c r="C97" s="223" t="s">
        <v>392</v>
      </c>
      <c r="D97" s="222"/>
      <c r="E97" s="224" t="s">
        <v>393</v>
      </c>
      <c r="F97" s="258"/>
      <c r="G97" s="224"/>
      <c r="H97" s="224"/>
      <c r="I97" s="225">
        <v>3250000</v>
      </c>
      <c r="J97" s="225">
        <v>0</v>
      </c>
      <c r="K97" s="225">
        <f>[1]Nov!I95</f>
        <v>3250000</v>
      </c>
      <c r="L97" s="225"/>
      <c r="M97" s="225"/>
      <c r="N97" s="225">
        <f t="shared" si="50"/>
        <v>3250000</v>
      </c>
      <c r="O97" s="225">
        <f t="shared" si="51"/>
        <v>0</v>
      </c>
      <c r="P97" s="225"/>
      <c r="Q97" s="225"/>
      <c r="R97" s="225">
        <f>N97</f>
        <v>3250000</v>
      </c>
      <c r="S97" s="225"/>
      <c r="T97" s="225"/>
      <c r="U97" s="225"/>
      <c r="V97" s="222"/>
      <c r="W97" s="283"/>
    </row>
    <row r="98" spans="1:24" x14ac:dyDescent="0.25">
      <c r="A98" s="233"/>
      <c r="B98" s="223"/>
      <c r="C98" s="223"/>
      <c r="D98" s="222"/>
      <c r="E98" s="224"/>
      <c r="F98" s="258"/>
      <c r="G98" s="224"/>
      <c r="H98" s="224"/>
      <c r="I98" s="225"/>
      <c r="J98" s="225"/>
      <c r="K98" s="225"/>
      <c r="L98" s="225"/>
      <c r="M98" s="225"/>
      <c r="N98" s="225"/>
      <c r="O98" s="225"/>
      <c r="P98" s="225"/>
      <c r="Q98" s="225"/>
      <c r="R98" s="225"/>
      <c r="S98" s="225"/>
      <c r="T98" s="225"/>
      <c r="U98" s="225"/>
      <c r="V98" s="222"/>
      <c r="W98" s="283"/>
    </row>
    <row r="99" spans="1:24" ht="45" x14ac:dyDescent="0.25">
      <c r="A99" s="232"/>
      <c r="B99" s="242" t="s">
        <v>394</v>
      </c>
      <c r="C99" s="232"/>
      <c r="D99" s="214"/>
      <c r="E99" s="236" t="s">
        <v>395</v>
      </c>
      <c r="F99" s="236" t="s">
        <v>680</v>
      </c>
      <c r="G99" s="236"/>
      <c r="H99" s="236"/>
      <c r="I99" s="237">
        <f>I100</f>
        <v>4160000</v>
      </c>
      <c r="J99" s="237">
        <f>J100</f>
        <v>2000000</v>
      </c>
      <c r="K99" s="237">
        <f>K100</f>
        <v>1636500</v>
      </c>
      <c r="L99" s="237"/>
      <c r="M99" s="237"/>
      <c r="N99" s="237">
        <f>N100</f>
        <v>3636500</v>
      </c>
      <c r="O99" s="237">
        <f>O100</f>
        <v>523500</v>
      </c>
      <c r="P99" s="237"/>
      <c r="Q99" s="237">
        <f t="shared" ref="Q99:U99" si="52">Q100</f>
        <v>0</v>
      </c>
      <c r="R99" s="237">
        <f t="shared" si="52"/>
        <v>430000</v>
      </c>
      <c r="S99" s="237">
        <f t="shared" si="52"/>
        <v>0</v>
      </c>
      <c r="T99" s="237">
        <f t="shared" si="52"/>
        <v>0</v>
      </c>
      <c r="U99" s="237">
        <f t="shared" si="52"/>
        <v>3206500</v>
      </c>
      <c r="V99" s="214"/>
      <c r="W99" s="281"/>
      <c r="X99" s="9"/>
    </row>
    <row r="100" spans="1:24" x14ac:dyDescent="0.25">
      <c r="A100" s="232"/>
      <c r="B100" s="215" t="s">
        <v>394</v>
      </c>
      <c r="C100" s="215" t="s">
        <v>359</v>
      </c>
      <c r="D100" s="214"/>
      <c r="E100" s="216" t="s">
        <v>67</v>
      </c>
      <c r="F100" s="236"/>
      <c r="G100" s="216"/>
      <c r="H100" s="216"/>
      <c r="I100" s="217">
        <f>I101+I105</f>
        <v>4160000</v>
      </c>
      <c r="J100" s="217">
        <f>J101+J105</f>
        <v>2000000</v>
      </c>
      <c r="K100" s="217">
        <f>K101+K105</f>
        <v>1636500</v>
      </c>
      <c r="L100" s="217"/>
      <c r="M100" s="217"/>
      <c r="N100" s="217">
        <f>N101+N105</f>
        <v>3636500</v>
      </c>
      <c r="O100" s="217">
        <f>O101+O105</f>
        <v>523500</v>
      </c>
      <c r="P100" s="217"/>
      <c r="Q100" s="217">
        <f t="shared" ref="Q100:U100" si="53">Q101+Q105</f>
        <v>0</v>
      </c>
      <c r="R100" s="217">
        <f t="shared" si="53"/>
        <v>430000</v>
      </c>
      <c r="S100" s="217">
        <f t="shared" si="53"/>
        <v>0</v>
      </c>
      <c r="T100" s="217">
        <f t="shared" si="53"/>
        <v>0</v>
      </c>
      <c r="U100" s="217">
        <f t="shared" si="53"/>
        <v>3206500</v>
      </c>
      <c r="V100" s="214"/>
      <c r="W100" s="281"/>
    </row>
    <row r="101" spans="1:24" x14ac:dyDescent="0.25">
      <c r="A101" s="234"/>
      <c r="B101" s="219" t="s">
        <v>394</v>
      </c>
      <c r="C101" s="219" t="s">
        <v>360</v>
      </c>
      <c r="D101" s="218"/>
      <c r="E101" s="220" t="s">
        <v>361</v>
      </c>
      <c r="F101" s="277"/>
      <c r="G101" s="220"/>
      <c r="H101" s="220"/>
      <c r="I101" s="221">
        <f>SUM(I102:I104)</f>
        <v>3900000</v>
      </c>
      <c r="J101" s="221">
        <f>SUM(J102:J104)</f>
        <v>2000000</v>
      </c>
      <c r="K101" s="221">
        <f>SUM(K102:K104)</f>
        <v>1546500</v>
      </c>
      <c r="L101" s="221"/>
      <c r="M101" s="221"/>
      <c r="N101" s="221">
        <f>SUM(N102:N104)</f>
        <v>3546500</v>
      </c>
      <c r="O101" s="221">
        <f>SUM(O102:O104)</f>
        <v>353500</v>
      </c>
      <c r="P101" s="221"/>
      <c r="Q101" s="221">
        <f t="shared" ref="Q101:U101" si="54">SUM(Q102:Q104)</f>
        <v>0</v>
      </c>
      <c r="R101" s="221">
        <f t="shared" si="54"/>
        <v>340000</v>
      </c>
      <c r="S101" s="221">
        <f t="shared" si="54"/>
        <v>0</v>
      </c>
      <c r="T101" s="221">
        <f t="shared" si="54"/>
        <v>0</v>
      </c>
      <c r="U101" s="221">
        <f t="shared" si="54"/>
        <v>3206500</v>
      </c>
      <c r="V101" s="218"/>
      <c r="W101" s="282"/>
    </row>
    <row r="102" spans="1:24" x14ac:dyDescent="0.25">
      <c r="A102" s="233"/>
      <c r="B102" s="223" t="s">
        <v>394</v>
      </c>
      <c r="C102" s="223" t="s">
        <v>362</v>
      </c>
      <c r="D102" s="222"/>
      <c r="E102" s="224" t="s">
        <v>363</v>
      </c>
      <c r="F102" s="258"/>
      <c r="G102" s="224"/>
      <c r="H102" s="224"/>
      <c r="I102" s="225">
        <v>50000</v>
      </c>
      <c r="J102" s="225">
        <v>50000</v>
      </c>
      <c r="K102" s="225">
        <f>[1]Nov!I100</f>
        <v>0</v>
      </c>
      <c r="L102" s="225"/>
      <c r="M102" s="225"/>
      <c r="N102" s="225">
        <f t="shared" ref="N102:N104" si="55">J102+K102</f>
        <v>50000</v>
      </c>
      <c r="O102" s="225">
        <f t="shared" ref="O102:O104" si="56">I102-N102</f>
        <v>0</v>
      </c>
      <c r="P102" s="225"/>
      <c r="Q102" s="225"/>
      <c r="R102" s="225"/>
      <c r="S102" s="225"/>
      <c r="T102" s="225"/>
      <c r="U102" s="225">
        <f>N102</f>
        <v>50000</v>
      </c>
      <c r="V102" s="222"/>
      <c r="W102" s="283"/>
    </row>
    <row r="103" spans="1:24" x14ac:dyDescent="0.25">
      <c r="A103" s="233"/>
      <c r="B103" s="223" t="s">
        <v>394</v>
      </c>
      <c r="C103" s="223" t="s">
        <v>366</v>
      </c>
      <c r="D103" s="222"/>
      <c r="E103" s="224" t="s">
        <v>367</v>
      </c>
      <c r="F103" s="258"/>
      <c r="G103" s="224"/>
      <c r="H103" s="224"/>
      <c r="I103" s="225">
        <v>47500</v>
      </c>
      <c r="J103" s="225">
        <v>47500</v>
      </c>
      <c r="K103" s="225">
        <f>[1]Nov!I101</f>
        <v>0</v>
      </c>
      <c r="L103" s="225"/>
      <c r="M103" s="225"/>
      <c r="N103" s="225">
        <f t="shared" si="55"/>
        <v>47500</v>
      </c>
      <c r="O103" s="225">
        <f t="shared" si="56"/>
        <v>0</v>
      </c>
      <c r="P103" s="225"/>
      <c r="Q103" s="225"/>
      <c r="R103" s="225"/>
      <c r="S103" s="225"/>
      <c r="T103" s="225"/>
      <c r="U103" s="225">
        <f t="shared" ref="U103" si="57">N103</f>
        <v>47500</v>
      </c>
      <c r="V103" s="222"/>
      <c r="W103" s="283"/>
    </row>
    <row r="104" spans="1:24" x14ac:dyDescent="0.25">
      <c r="A104" s="233"/>
      <c r="B104" s="223" t="s">
        <v>394</v>
      </c>
      <c r="C104" s="223" t="s">
        <v>368</v>
      </c>
      <c r="D104" s="222"/>
      <c r="E104" s="224" t="s">
        <v>369</v>
      </c>
      <c r="F104" s="258"/>
      <c r="G104" s="224"/>
      <c r="H104" s="224"/>
      <c r="I104" s="225">
        <v>3802500</v>
      </c>
      <c r="J104" s="225">
        <f>202500+1700000</f>
        <v>1902500</v>
      </c>
      <c r="K104" s="225">
        <f>[1]Nov!I102</f>
        <v>1546500</v>
      </c>
      <c r="L104" s="225"/>
      <c r="M104" s="225"/>
      <c r="N104" s="225">
        <f t="shared" si="55"/>
        <v>3449000</v>
      </c>
      <c r="O104" s="225">
        <f t="shared" si="56"/>
        <v>353500</v>
      </c>
      <c r="P104" s="225"/>
      <c r="Q104" s="225"/>
      <c r="R104" s="225">
        <v>340000</v>
      </c>
      <c r="S104" s="225"/>
      <c r="T104" s="225"/>
      <c r="U104" s="225">
        <f>N104-R104</f>
        <v>3109000</v>
      </c>
      <c r="V104" s="222"/>
      <c r="W104" s="283">
        <v>353500</v>
      </c>
    </row>
    <row r="105" spans="1:24" x14ac:dyDescent="0.25">
      <c r="A105" s="234"/>
      <c r="B105" s="219" t="s">
        <v>394</v>
      </c>
      <c r="C105" s="219" t="s">
        <v>373</v>
      </c>
      <c r="D105" s="218"/>
      <c r="E105" s="220" t="s">
        <v>145</v>
      </c>
      <c r="F105" s="277"/>
      <c r="G105" s="220"/>
      <c r="H105" s="220"/>
      <c r="I105" s="221">
        <f>SUM(I106:I107)</f>
        <v>260000</v>
      </c>
      <c r="J105" s="221">
        <f>SUM(J106:J107)</f>
        <v>0</v>
      </c>
      <c r="K105" s="221">
        <f>SUM(K106:K107)</f>
        <v>90000</v>
      </c>
      <c r="L105" s="221"/>
      <c r="M105" s="221"/>
      <c r="N105" s="221">
        <f>SUM(N106:N107)</f>
        <v>90000</v>
      </c>
      <c r="O105" s="221">
        <f>SUM(O106:O107)</f>
        <v>170000</v>
      </c>
      <c r="P105" s="221"/>
      <c r="Q105" s="221">
        <f t="shared" ref="Q105:U105" si="58">SUM(Q106:Q107)</f>
        <v>0</v>
      </c>
      <c r="R105" s="221">
        <f t="shared" si="58"/>
        <v>90000</v>
      </c>
      <c r="S105" s="221">
        <f t="shared" si="58"/>
        <v>0</v>
      </c>
      <c r="T105" s="221">
        <f t="shared" si="58"/>
        <v>0</v>
      </c>
      <c r="U105" s="221">
        <f t="shared" si="58"/>
        <v>0</v>
      </c>
      <c r="V105" s="218"/>
      <c r="W105" s="282"/>
    </row>
    <row r="106" spans="1:24" ht="30" x14ac:dyDescent="0.25">
      <c r="A106" s="233"/>
      <c r="B106" s="223" t="s">
        <v>394</v>
      </c>
      <c r="C106" s="223" t="s">
        <v>374</v>
      </c>
      <c r="D106" s="222"/>
      <c r="E106" s="258" t="s">
        <v>375</v>
      </c>
      <c r="F106" s="258"/>
      <c r="G106" s="224"/>
      <c r="H106" s="224"/>
      <c r="I106" s="225">
        <v>160000</v>
      </c>
      <c r="J106" s="225">
        <v>0</v>
      </c>
      <c r="K106" s="225">
        <f>[1]Nov!I104</f>
        <v>40000</v>
      </c>
      <c r="L106" s="225"/>
      <c r="M106" s="225"/>
      <c r="N106" s="225">
        <f t="shared" ref="N106:N107" si="59">J106+K106</f>
        <v>40000</v>
      </c>
      <c r="O106" s="225">
        <f t="shared" ref="O106:O107" si="60">I106-N106</f>
        <v>120000</v>
      </c>
      <c r="P106" s="225"/>
      <c r="Q106" s="225"/>
      <c r="R106" s="225">
        <f>N106</f>
        <v>40000</v>
      </c>
      <c r="S106" s="225"/>
      <c r="T106" s="225"/>
      <c r="U106" s="225"/>
      <c r="V106" s="222"/>
      <c r="W106" s="283"/>
    </row>
    <row r="107" spans="1:24" ht="30" x14ac:dyDescent="0.25">
      <c r="A107" s="233"/>
      <c r="B107" s="223" t="s">
        <v>394</v>
      </c>
      <c r="C107" s="223" t="s">
        <v>376</v>
      </c>
      <c r="D107" s="222"/>
      <c r="E107" s="258" t="s">
        <v>377</v>
      </c>
      <c r="F107" s="258"/>
      <c r="G107" s="224"/>
      <c r="H107" s="224"/>
      <c r="I107" s="225">
        <v>100000</v>
      </c>
      <c r="J107" s="225">
        <v>0</v>
      </c>
      <c r="K107" s="225">
        <f>[1]Nov!I105</f>
        <v>50000</v>
      </c>
      <c r="L107" s="225"/>
      <c r="M107" s="225"/>
      <c r="N107" s="225">
        <f t="shared" si="59"/>
        <v>50000</v>
      </c>
      <c r="O107" s="225">
        <f t="shared" si="60"/>
        <v>50000</v>
      </c>
      <c r="P107" s="225"/>
      <c r="Q107" s="225"/>
      <c r="R107" s="225">
        <f>N107</f>
        <v>50000</v>
      </c>
      <c r="S107" s="225"/>
      <c r="T107" s="225"/>
      <c r="U107" s="225"/>
      <c r="V107" s="222"/>
      <c r="W107" s="283"/>
    </row>
    <row r="108" spans="1:24" x14ac:dyDescent="0.25">
      <c r="A108" s="233"/>
      <c r="B108" s="223"/>
      <c r="C108" s="223"/>
      <c r="D108" s="222"/>
      <c r="E108" s="224"/>
      <c r="F108" s="258"/>
      <c r="G108" s="224"/>
      <c r="H108" s="224"/>
      <c r="I108" s="225"/>
      <c r="J108" s="225"/>
      <c r="K108" s="225"/>
      <c r="L108" s="225"/>
      <c r="M108" s="225"/>
      <c r="N108" s="225"/>
      <c r="O108" s="225"/>
      <c r="P108" s="225"/>
      <c r="Q108" s="225"/>
      <c r="R108" s="225"/>
      <c r="S108" s="225"/>
      <c r="T108" s="225"/>
      <c r="U108" s="225"/>
      <c r="V108" s="222"/>
      <c r="W108" s="283"/>
    </row>
    <row r="109" spans="1:24" ht="30" x14ac:dyDescent="0.25">
      <c r="A109" s="232"/>
      <c r="B109" s="215" t="s">
        <v>396</v>
      </c>
      <c r="C109" s="232"/>
      <c r="D109" s="214"/>
      <c r="E109" s="216" t="s">
        <v>397</v>
      </c>
      <c r="F109" s="236" t="s">
        <v>682</v>
      </c>
      <c r="G109" s="216"/>
      <c r="H109" s="216"/>
      <c r="I109" s="217">
        <f>I110</f>
        <v>12000000</v>
      </c>
      <c r="J109" s="217">
        <f>J110</f>
        <v>1900000</v>
      </c>
      <c r="K109" s="217">
        <f>K110</f>
        <v>10100000</v>
      </c>
      <c r="L109" s="217"/>
      <c r="M109" s="217"/>
      <c r="N109" s="217">
        <f>N110</f>
        <v>12000000</v>
      </c>
      <c r="O109" s="217">
        <f>O110</f>
        <v>0</v>
      </c>
      <c r="P109" s="217"/>
      <c r="Q109" s="217">
        <f t="shared" ref="Q109:U109" si="61">Q110</f>
        <v>0</v>
      </c>
      <c r="R109" s="217">
        <f t="shared" si="61"/>
        <v>0</v>
      </c>
      <c r="S109" s="217">
        <f t="shared" si="61"/>
        <v>0</v>
      </c>
      <c r="T109" s="217">
        <f t="shared" si="61"/>
        <v>12000000</v>
      </c>
      <c r="U109" s="217">
        <f t="shared" si="61"/>
        <v>0</v>
      </c>
      <c r="V109" s="214"/>
      <c r="W109" s="281"/>
    </row>
    <row r="110" spans="1:24" x14ac:dyDescent="0.25">
      <c r="A110" s="232"/>
      <c r="B110" s="215" t="s">
        <v>396</v>
      </c>
      <c r="C110" s="215" t="s">
        <v>359</v>
      </c>
      <c r="D110" s="214"/>
      <c r="E110" s="216" t="s">
        <v>67</v>
      </c>
      <c r="F110" s="236"/>
      <c r="G110" s="216"/>
      <c r="H110" s="216"/>
      <c r="I110" s="217">
        <f>I111+I113</f>
        <v>12000000</v>
      </c>
      <c r="J110" s="217">
        <f>J111+J113</f>
        <v>1900000</v>
      </c>
      <c r="K110" s="217">
        <f>K111+K113</f>
        <v>10100000</v>
      </c>
      <c r="L110" s="217"/>
      <c r="M110" s="217"/>
      <c r="N110" s="217">
        <f>N111+N113</f>
        <v>12000000</v>
      </c>
      <c r="O110" s="217">
        <f>O111+O113</f>
        <v>0</v>
      </c>
      <c r="P110" s="217"/>
      <c r="Q110" s="217">
        <f t="shared" ref="Q110:U110" si="62">Q111+Q113</f>
        <v>0</v>
      </c>
      <c r="R110" s="217">
        <f t="shared" si="62"/>
        <v>0</v>
      </c>
      <c r="S110" s="217">
        <f t="shared" si="62"/>
        <v>0</v>
      </c>
      <c r="T110" s="217">
        <f t="shared" si="62"/>
        <v>12000000</v>
      </c>
      <c r="U110" s="217">
        <f t="shared" si="62"/>
        <v>0</v>
      </c>
      <c r="V110" s="214"/>
      <c r="W110" s="281"/>
    </row>
    <row r="111" spans="1:24" x14ac:dyDescent="0.25">
      <c r="A111" s="234"/>
      <c r="B111" s="219" t="s">
        <v>396</v>
      </c>
      <c r="C111" s="219" t="s">
        <v>360</v>
      </c>
      <c r="D111" s="218"/>
      <c r="E111" s="220" t="s">
        <v>361</v>
      </c>
      <c r="F111" s="277"/>
      <c r="G111" s="220"/>
      <c r="H111" s="220"/>
      <c r="I111" s="221">
        <f>SUM(I112)</f>
        <v>600000</v>
      </c>
      <c r="J111" s="221">
        <f>SUM(J112)</f>
        <v>0</v>
      </c>
      <c r="K111" s="221">
        <f>SUM(K112)</f>
        <v>600000</v>
      </c>
      <c r="L111" s="221"/>
      <c r="M111" s="221"/>
      <c r="N111" s="221">
        <f>SUM(N112)</f>
        <v>600000</v>
      </c>
      <c r="O111" s="221">
        <f>SUM(O112)</f>
        <v>0</v>
      </c>
      <c r="P111" s="221"/>
      <c r="Q111" s="221">
        <f t="shared" ref="Q111:U111" si="63">SUM(Q112)</f>
        <v>0</v>
      </c>
      <c r="R111" s="221">
        <f t="shared" si="63"/>
        <v>0</v>
      </c>
      <c r="S111" s="221">
        <f t="shared" si="63"/>
        <v>0</v>
      </c>
      <c r="T111" s="221">
        <f t="shared" si="63"/>
        <v>600000</v>
      </c>
      <c r="U111" s="221">
        <f t="shared" si="63"/>
        <v>0</v>
      </c>
      <c r="V111" s="218"/>
      <c r="W111" s="282"/>
    </row>
    <row r="112" spans="1:24" x14ac:dyDescent="0.25">
      <c r="A112" s="233"/>
      <c r="B112" s="223" t="s">
        <v>396</v>
      </c>
      <c r="C112" s="223" t="s">
        <v>368</v>
      </c>
      <c r="D112" s="222"/>
      <c r="E112" s="224" t="s">
        <v>369</v>
      </c>
      <c r="F112" s="258"/>
      <c r="G112" s="224"/>
      <c r="H112" s="224"/>
      <c r="I112" s="225">
        <v>600000</v>
      </c>
      <c r="J112" s="225">
        <v>0</v>
      </c>
      <c r="K112" s="225">
        <f>[1]Nov!I110</f>
        <v>600000</v>
      </c>
      <c r="L112" s="225"/>
      <c r="M112" s="225"/>
      <c r="N112" s="225">
        <f t="shared" ref="N112" si="64">J112+K112</f>
        <v>600000</v>
      </c>
      <c r="O112" s="225">
        <f t="shared" ref="O112" si="65">I112-N112</f>
        <v>0</v>
      </c>
      <c r="P112" s="225"/>
      <c r="Q112" s="225"/>
      <c r="R112" s="225"/>
      <c r="S112" s="225"/>
      <c r="T112" s="225">
        <f>N112</f>
        <v>600000</v>
      </c>
      <c r="U112" s="225"/>
      <c r="V112" s="222"/>
      <c r="W112" s="283"/>
    </row>
    <row r="113" spans="1:23" x14ac:dyDescent="0.25">
      <c r="A113" s="234"/>
      <c r="B113" s="219" t="s">
        <v>396</v>
      </c>
      <c r="C113" s="219" t="s">
        <v>370</v>
      </c>
      <c r="D113" s="218"/>
      <c r="E113" s="220" t="s">
        <v>81</v>
      </c>
      <c r="F113" s="277"/>
      <c r="G113" s="220"/>
      <c r="H113" s="220"/>
      <c r="I113" s="221">
        <f>SUM(I114)</f>
        <v>11400000</v>
      </c>
      <c r="J113" s="221">
        <f>SUM(J114)</f>
        <v>1900000</v>
      </c>
      <c r="K113" s="221">
        <f>SUM(K114)</f>
        <v>9500000</v>
      </c>
      <c r="L113" s="221"/>
      <c r="M113" s="221"/>
      <c r="N113" s="221">
        <f>SUM(N114)</f>
        <v>11400000</v>
      </c>
      <c r="O113" s="221">
        <f>SUM(O114)</f>
        <v>0</v>
      </c>
      <c r="P113" s="221"/>
      <c r="Q113" s="221">
        <f t="shared" ref="Q113:U113" si="66">SUM(Q114)</f>
        <v>0</v>
      </c>
      <c r="R113" s="221">
        <f t="shared" si="66"/>
        <v>0</v>
      </c>
      <c r="S113" s="221">
        <f t="shared" si="66"/>
        <v>0</v>
      </c>
      <c r="T113" s="221">
        <f t="shared" si="66"/>
        <v>11400000</v>
      </c>
      <c r="U113" s="221">
        <f t="shared" si="66"/>
        <v>0</v>
      </c>
      <c r="V113" s="218"/>
      <c r="W113" s="282"/>
    </row>
    <row r="114" spans="1:23" x14ac:dyDescent="0.25">
      <c r="A114" s="233"/>
      <c r="B114" s="223" t="s">
        <v>396</v>
      </c>
      <c r="C114" s="223" t="s">
        <v>398</v>
      </c>
      <c r="D114" s="222"/>
      <c r="E114" s="224" t="s">
        <v>399</v>
      </c>
      <c r="F114" s="258"/>
      <c r="G114" s="224"/>
      <c r="H114" s="224"/>
      <c r="I114" s="225">
        <v>11400000</v>
      </c>
      <c r="J114" s="225">
        <v>1900000</v>
      </c>
      <c r="K114" s="225">
        <f>[1]Nov!I112</f>
        <v>9500000</v>
      </c>
      <c r="L114" s="225"/>
      <c r="M114" s="225"/>
      <c r="N114" s="225">
        <f t="shared" ref="N114" si="67">J114+K114</f>
        <v>11400000</v>
      </c>
      <c r="O114" s="225">
        <f t="shared" ref="O114" si="68">I114-N114</f>
        <v>0</v>
      </c>
      <c r="P114" s="225"/>
      <c r="Q114" s="225"/>
      <c r="R114" s="225"/>
      <c r="S114" s="225"/>
      <c r="T114" s="225">
        <f>N114</f>
        <v>11400000</v>
      </c>
      <c r="U114" s="225"/>
      <c r="V114" s="222"/>
      <c r="W114" s="283"/>
    </row>
    <row r="115" spans="1:23" x14ac:dyDescent="0.25">
      <c r="A115" s="233"/>
      <c r="B115" s="223"/>
      <c r="C115" s="223"/>
      <c r="D115" s="222"/>
      <c r="E115" s="224"/>
      <c r="F115" s="258"/>
      <c r="G115" s="224"/>
      <c r="H115" s="224"/>
      <c r="I115" s="225"/>
      <c r="J115" s="225"/>
      <c r="K115" s="225"/>
      <c r="L115" s="225"/>
      <c r="M115" s="225"/>
      <c r="N115" s="225"/>
      <c r="O115" s="225"/>
      <c r="P115" s="225"/>
      <c r="Q115" s="225"/>
      <c r="R115" s="225"/>
      <c r="S115" s="225"/>
      <c r="T115" s="225"/>
      <c r="U115" s="225"/>
      <c r="V115" s="222"/>
      <c r="W115" s="283"/>
    </row>
    <row r="116" spans="1:23" ht="19.5" customHeight="1" x14ac:dyDescent="0.25">
      <c r="A116" s="232"/>
      <c r="B116" s="215" t="s">
        <v>400</v>
      </c>
      <c r="C116" s="232"/>
      <c r="D116" s="216" t="s">
        <v>401</v>
      </c>
      <c r="E116" s="291"/>
      <c r="F116" s="291"/>
      <c r="G116" s="214"/>
      <c r="H116" s="214"/>
      <c r="I116" s="217">
        <f>I117+I122+I127</f>
        <v>13402000</v>
      </c>
      <c r="J116" s="217">
        <f>J117+J122+J127</f>
        <v>2550000</v>
      </c>
      <c r="K116" s="217">
        <f>K117+K122+K127</f>
        <v>10804000</v>
      </c>
      <c r="L116" s="217"/>
      <c r="M116" s="217"/>
      <c r="N116" s="217">
        <f>N117+N122+N127</f>
        <v>13354000</v>
      </c>
      <c r="O116" s="217">
        <f>O117+O122+O127</f>
        <v>48000</v>
      </c>
      <c r="P116" s="217"/>
      <c r="Q116" s="217">
        <f t="shared" ref="Q116:U116" si="69">Q117+Q122+Q127</f>
        <v>0</v>
      </c>
      <c r="R116" s="217">
        <f t="shared" si="69"/>
        <v>7620000</v>
      </c>
      <c r="S116" s="217">
        <f t="shared" si="69"/>
        <v>2054000</v>
      </c>
      <c r="T116" s="217">
        <f t="shared" si="69"/>
        <v>1340000</v>
      </c>
      <c r="U116" s="217">
        <f t="shared" si="69"/>
        <v>2340000</v>
      </c>
      <c r="V116" s="214"/>
      <c r="W116" s="281"/>
    </row>
    <row r="117" spans="1:23" ht="30" x14ac:dyDescent="0.25">
      <c r="A117" s="232"/>
      <c r="B117" s="215" t="s">
        <v>402</v>
      </c>
      <c r="C117" s="232"/>
      <c r="D117" s="214"/>
      <c r="E117" s="236" t="s">
        <v>403</v>
      </c>
      <c r="F117" s="236" t="s">
        <v>683</v>
      </c>
      <c r="G117" s="216"/>
      <c r="H117" s="216"/>
      <c r="I117" s="217">
        <f t="shared" ref="I117:U118" si="70">I118</f>
        <v>9960000</v>
      </c>
      <c r="J117" s="217">
        <f t="shared" si="70"/>
        <v>0</v>
      </c>
      <c r="K117" s="217">
        <f t="shared" si="70"/>
        <v>9960000</v>
      </c>
      <c r="L117" s="217"/>
      <c r="M117" s="217"/>
      <c r="N117" s="217">
        <f t="shared" si="70"/>
        <v>9960000</v>
      </c>
      <c r="O117" s="217">
        <f t="shared" si="70"/>
        <v>0</v>
      </c>
      <c r="P117" s="217"/>
      <c r="Q117" s="217">
        <f t="shared" si="70"/>
        <v>0</v>
      </c>
      <c r="R117" s="217">
        <f t="shared" si="70"/>
        <v>7620000</v>
      </c>
      <c r="S117" s="217">
        <f t="shared" si="70"/>
        <v>0</v>
      </c>
      <c r="T117" s="217">
        <f t="shared" si="70"/>
        <v>0</v>
      </c>
      <c r="U117" s="217">
        <f t="shared" si="70"/>
        <v>2340000</v>
      </c>
      <c r="V117" s="214"/>
      <c r="W117" s="281"/>
    </row>
    <row r="118" spans="1:23" x14ac:dyDescent="0.25">
      <c r="A118" s="232"/>
      <c r="B118" s="215" t="s">
        <v>402</v>
      </c>
      <c r="C118" s="215" t="s">
        <v>404</v>
      </c>
      <c r="D118" s="214"/>
      <c r="E118" s="236" t="s">
        <v>68</v>
      </c>
      <c r="F118" s="236"/>
      <c r="G118" s="216"/>
      <c r="H118" s="216"/>
      <c r="I118" s="217">
        <f t="shared" si="70"/>
        <v>9960000</v>
      </c>
      <c r="J118" s="217">
        <f t="shared" si="70"/>
        <v>0</v>
      </c>
      <c r="K118" s="217">
        <f t="shared" si="70"/>
        <v>9960000</v>
      </c>
      <c r="L118" s="217"/>
      <c r="M118" s="217"/>
      <c r="N118" s="217">
        <f t="shared" si="70"/>
        <v>9960000</v>
      </c>
      <c r="O118" s="217">
        <f t="shared" si="70"/>
        <v>0</v>
      </c>
      <c r="P118" s="217"/>
      <c r="Q118" s="217">
        <f t="shared" si="70"/>
        <v>0</v>
      </c>
      <c r="R118" s="217">
        <f t="shared" si="70"/>
        <v>7620000</v>
      </c>
      <c r="S118" s="217">
        <f t="shared" si="70"/>
        <v>0</v>
      </c>
      <c r="T118" s="217">
        <f t="shared" si="70"/>
        <v>0</v>
      </c>
      <c r="U118" s="217">
        <f t="shared" si="70"/>
        <v>2340000</v>
      </c>
      <c r="V118" s="214"/>
      <c r="W118" s="281"/>
    </row>
    <row r="119" spans="1:23" ht="28.5" x14ac:dyDescent="0.25">
      <c r="A119" s="232"/>
      <c r="B119" s="219" t="s">
        <v>402</v>
      </c>
      <c r="C119" s="219" t="s">
        <v>405</v>
      </c>
      <c r="D119" s="218"/>
      <c r="E119" s="277" t="s">
        <v>406</v>
      </c>
      <c r="F119" s="277"/>
      <c r="G119" s="220"/>
      <c r="H119" s="220"/>
      <c r="I119" s="221">
        <f>SUM(I120)</f>
        <v>9960000</v>
      </c>
      <c r="J119" s="221">
        <f>SUM(J120)</f>
        <v>0</v>
      </c>
      <c r="K119" s="221">
        <f>SUM(K120)</f>
        <v>9960000</v>
      </c>
      <c r="L119" s="221"/>
      <c r="M119" s="221"/>
      <c r="N119" s="221">
        <f>SUM(N120)</f>
        <v>9960000</v>
      </c>
      <c r="O119" s="221">
        <f>SUM(O120)</f>
        <v>0</v>
      </c>
      <c r="P119" s="221"/>
      <c r="Q119" s="221">
        <f t="shared" ref="Q119:U119" si="71">SUM(Q120)</f>
        <v>0</v>
      </c>
      <c r="R119" s="221">
        <f t="shared" si="71"/>
        <v>7620000</v>
      </c>
      <c r="S119" s="221">
        <f t="shared" si="71"/>
        <v>0</v>
      </c>
      <c r="T119" s="221">
        <f t="shared" si="71"/>
        <v>0</v>
      </c>
      <c r="U119" s="221">
        <f t="shared" si="71"/>
        <v>2340000</v>
      </c>
      <c r="V119" s="218"/>
      <c r="W119" s="281"/>
    </row>
    <row r="120" spans="1:23" ht="30" x14ac:dyDescent="0.25">
      <c r="A120" s="232"/>
      <c r="B120" s="223" t="s">
        <v>402</v>
      </c>
      <c r="C120" s="223" t="s">
        <v>407</v>
      </c>
      <c r="D120" s="222"/>
      <c r="E120" s="258" t="s">
        <v>408</v>
      </c>
      <c r="F120" s="258"/>
      <c r="G120" s="224"/>
      <c r="H120" s="224"/>
      <c r="I120" s="225">
        <v>9960000</v>
      </c>
      <c r="J120" s="225">
        <v>0</v>
      </c>
      <c r="K120" s="225">
        <f>[1]Nov!I118</f>
        <v>9960000</v>
      </c>
      <c r="L120" s="225"/>
      <c r="M120" s="225"/>
      <c r="N120" s="225">
        <f t="shared" ref="N120" si="72">J120+K120</f>
        <v>9960000</v>
      </c>
      <c r="O120" s="225">
        <f t="shared" ref="O120" si="73">I120-N120</f>
        <v>0</v>
      </c>
      <c r="P120" s="225"/>
      <c r="Q120" s="225"/>
      <c r="R120" s="225">
        <f>N120-U120</f>
        <v>7620000</v>
      </c>
      <c r="S120" s="225"/>
      <c r="T120" s="225"/>
      <c r="U120" s="225">
        <v>2340000</v>
      </c>
      <c r="V120" s="222"/>
      <c r="W120" s="281"/>
    </row>
    <row r="121" spans="1:23" x14ac:dyDescent="0.25">
      <c r="A121" s="232"/>
      <c r="B121" s="215"/>
      <c r="C121" s="232"/>
      <c r="D121" s="216"/>
      <c r="E121" s="291"/>
      <c r="F121" s="291"/>
      <c r="G121" s="214"/>
      <c r="H121" s="214"/>
      <c r="I121" s="217"/>
      <c r="J121" s="217"/>
      <c r="K121" s="217"/>
      <c r="L121" s="217"/>
      <c r="M121" s="217"/>
      <c r="N121" s="217"/>
      <c r="O121" s="217"/>
      <c r="P121" s="217"/>
      <c r="Q121" s="217"/>
      <c r="R121" s="217"/>
      <c r="S121" s="217"/>
      <c r="T121" s="217"/>
      <c r="U121" s="217"/>
      <c r="V121" s="214"/>
      <c r="W121" s="281"/>
    </row>
    <row r="122" spans="1:23" ht="45" x14ac:dyDescent="0.25">
      <c r="A122" s="232"/>
      <c r="B122" s="215" t="s">
        <v>409</v>
      </c>
      <c r="C122" s="232"/>
      <c r="D122" s="214"/>
      <c r="E122" s="236" t="s">
        <v>410</v>
      </c>
      <c r="F122" s="236" t="s">
        <v>684</v>
      </c>
      <c r="G122" s="216"/>
      <c r="H122" s="216"/>
      <c r="I122" s="217">
        <f t="shared" ref="I122:U123" si="74">I123</f>
        <v>1912000</v>
      </c>
      <c r="J122" s="217">
        <f t="shared" si="74"/>
        <v>1360000</v>
      </c>
      <c r="K122" s="217">
        <f t="shared" si="74"/>
        <v>504000</v>
      </c>
      <c r="L122" s="217"/>
      <c r="M122" s="217"/>
      <c r="N122" s="217">
        <f t="shared" si="74"/>
        <v>1864000</v>
      </c>
      <c r="O122" s="217">
        <f t="shared" si="74"/>
        <v>48000</v>
      </c>
      <c r="P122" s="217"/>
      <c r="Q122" s="217">
        <f t="shared" si="74"/>
        <v>0</v>
      </c>
      <c r="R122" s="217">
        <f t="shared" si="74"/>
        <v>0</v>
      </c>
      <c r="S122" s="217">
        <f t="shared" si="74"/>
        <v>864000</v>
      </c>
      <c r="T122" s="217">
        <f t="shared" si="74"/>
        <v>1000000</v>
      </c>
      <c r="U122" s="217">
        <f t="shared" si="74"/>
        <v>0</v>
      </c>
      <c r="V122" s="214"/>
      <c r="W122" s="281"/>
    </row>
    <row r="123" spans="1:23" x14ac:dyDescent="0.25">
      <c r="A123" s="232"/>
      <c r="B123" s="215" t="s">
        <v>409</v>
      </c>
      <c r="C123" s="215" t="s">
        <v>359</v>
      </c>
      <c r="D123" s="214"/>
      <c r="E123" s="216" t="s">
        <v>67</v>
      </c>
      <c r="F123" s="236"/>
      <c r="G123" s="216"/>
      <c r="H123" s="216"/>
      <c r="I123" s="217">
        <f t="shared" si="74"/>
        <v>1912000</v>
      </c>
      <c r="J123" s="217">
        <f t="shared" si="74"/>
        <v>1360000</v>
      </c>
      <c r="K123" s="217">
        <f t="shared" si="74"/>
        <v>504000</v>
      </c>
      <c r="L123" s="217"/>
      <c r="M123" s="217"/>
      <c r="N123" s="217">
        <f t="shared" si="74"/>
        <v>1864000</v>
      </c>
      <c r="O123" s="217">
        <f t="shared" si="74"/>
        <v>48000</v>
      </c>
      <c r="P123" s="217"/>
      <c r="Q123" s="217">
        <f t="shared" si="74"/>
        <v>0</v>
      </c>
      <c r="R123" s="217">
        <f t="shared" si="74"/>
        <v>0</v>
      </c>
      <c r="S123" s="217">
        <f t="shared" si="74"/>
        <v>864000</v>
      </c>
      <c r="T123" s="217">
        <f t="shared" si="74"/>
        <v>1000000</v>
      </c>
      <c r="U123" s="217">
        <f t="shared" si="74"/>
        <v>0</v>
      </c>
      <c r="V123" s="214"/>
      <c r="W123" s="281"/>
    </row>
    <row r="124" spans="1:23" x14ac:dyDescent="0.25">
      <c r="A124" s="234"/>
      <c r="B124" s="219" t="s">
        <v>409</v>
      </c>
      <c r="C124" s="219" t="s">
        <v>411</v>
      </c>
      <c r="D124" s="218"/>
      <c r="E124" s="220" t="s">
        <v>79</v>
      </c>
      <c r="F124" s="277"/>
      <c r="G124" s="220"/>
      <c r="H124" s="220"/>
      <c r="I124" s="221">
        <f>SUM(I125)</f>
        <v>1912000</v>
      </c>
      <c r="J124" s="221">
        <f>SUM(J125)</f>
        <v>1360000</v>
      </c>
      <c r="K124" s="221">
        <f>SUM(K125)</f>
        <v>504000</v>
      </c>
      <c r="L124" s="221"/>
      <c r="M124" s="221"/>
      <c r="N124" s="221">
        <f>SUM(N125)</f>
        <v>1864000</v>
      </c>
      <c r="O124" s="221">
        <f>SUM(O125)</f>
        <v>48000</v>
      </c>
      <c r="P124" s="221"/>
      <c r="Q124" s="221">
        <f t="shared" ref="Q124:U124" si="75">SUM(Q125)</f>
        <v>0</v>
      </c>
      <c r="R124" s="221">
        <f t="shared" si="75"/>
        <v>0</v>
      </c>
      <c r="S124" s="221">
        <f t="shared" si="75"/>
        <v>864000</v>
      </c>
      <c r="T124" s="221">
        <f t="shared" si="75"/>
        <v>1000000</v>
      </c>
      <c r="U124" s="221">
        <f t="shared" si="75"/>
        <v>0</v>
      </c>
      <c r="V124" s="218"/>
      <c r="W124" s="282"/>
    </row>
    <row r="125" spans="1:23" x14ac:dyDescent="0.25">
      <c r="A125" s="233"/>
      <c r="B125" s="223" t="s">
        <v>409</v>
      </c>
      <c r="C125" s="223" t="s">
        <v>412</v>
      </c>
      <c r="D125" s="222"/>
      <c r="E125" s="224" t="s">
        <v>413</v>
      </c>
      <c r="F125" s="258"/>
      <c r="G125" s="224"/>
      <c r="H125" s="224"/>
      <c r="I125" s="225">
        <v>1912000</v>
      </c>
      <c r="J125" s="225">
        <f>360000+1000000</f>
        <v>1360000</v>
      </c>
      <c r="K125" s="225">
        <f>[1]Nov!I123</f>
        <v>504000</v>
      </c>
      <c r="L125" s="225"/>
      <c r="M125" s="225"/>
      <c r="N125" s="225">
        <f t="shared" ref="N125" si="76">J125+K125</f>
        <v>1864000</v>
      </c>
      <c r="O125" s="225">
        <f t="shared" ref="O125" si="77">I125-N125</f>
        <v>48000</v>
      </c>
      <c r="P125" s="225"/>
      <c r="Q125" s="225"/>
      <c r="R125" s="225"/>
      <c r="S125" s="225">
        <f>N125-T125</f>
        <v>864000</v>
      </c>
      <c r="T125" s="225">
        <v>1000000</v>
      </c>
      <c r="U125" s="225"/>
      <c r="V125" s="222"/>
      <c r="W125" s="283"/>
    </row>
    <row r="126" spans="1:23" x14ac:dyDescent="0.25">
      <c r="A126" s="233"/>
      <c r="B126" s="223"/>
      <c r="C126" s="223"/>
      <c r="D126" s="292"/>
      <c r="E126" s="258"/>
      <c r="F126" s="258"/>
      <c r="G126" s="224"/>
      <c r="H126" s="224"/>
      <c r="I126" s="225"/>
      <c r="J126" s="225"/>
      <c r="K126" s="225"/>
      <c r="L126" s="225"/>
      <c r="M126" s="225"/>
      <c r="N126" s="225"/>
      <c r="O126" s="225"/>
      <c r="P126" s="225"/>
      <c r="Q126" s="225"/>
      <c r="R126" s="225"/>
      <c r="S126" s="225"/>
      <c r="T126" s="225"/>
      <c r="U126" s="225"/>
      <c r="V126" s="222"/>
      <c r="W126" s="283"/>
    </row>
    <row r="127" spans="1:23" ht="45" x14ac:dyDescent="0.25">
      <c r="A127" s="232"/>
      <c r="B127" s="215" t="s">
        <v>414</v>
      </c>
      <c r="C127" s="232"/>
      <c r="D127" s="291"/>
      <c r="E127" s="236" t="s">
        <v>415</v>
      </c>
      <c r="F127" s="236" t="s">
        <v>685</v>
      </c>
      <c r="G127" s="216"/>
      <c r="H127" s="216"/>
      <c r="I127" s="217">
        <f t="shared" ref="I127:U128" si="78">I128</f>
        <v>1530000</v>
      </c>
      <c r="J127" s="217">
        <f t="shared" si="78"/>
        <v>1190000</v>
      </c>
      <c r="K127" s="217">
        <f t="shared" si="78"/>
        <v>340000</v>
      </c>
      <c r="L127" s="217"/>
      <c r="M127" s="217"/>
      <c r="N127" s="217">
        <f t="shared" si="78"/>
        <v>1530000</v>
      </c>
      <c r="O127" s="217">
        <f t="shared" si="78"/>
        <v>0</v>
      </c>
      <c r="P127" s="217"/>
      <c r="Q127" s="217">
        <f t="shared" si="78"/>
        <v>0</v>
      </c>
      <c r="R127" s="217">
        <f t="shared" si="78"/>
        <v>0</v>
      </c>
      <c r="S127" s="217">
        <f t="shared" si="78"/>
        <v>1190000</v>
      </c>
      <c r="T127" s="217">
        <f t="shared" si="78"/>
        <v>340000</v>
      </c>
      <c r="U127" s="217">
        <f t="shared" si="78"/>
        <v>0</v>
      </c>
      <c r="V127" s="214"/>
      <c r="W127" s="281"/>
    </row>
    <row r="128" spans="1:23" x14ac:dyDescent="0.25">
      <c r="A128" s="232"/>
      <c r="B128" s="215" t="s">
        <v>414</v>
      </c>
      <c r="C128" s="215" t="s">
        <v>359</v>
      </c>
      <c r="D128" s="291"/>
      <c r="E128" s="236" t="s">
        <v>67</v>
      </c>
      <c r="F128" s="236"/>
      <c r="G128" s="216"/>
      <c r="H128" s="216"/>
      <c r="I128" s="217">
        <f t="shared" si="78"/>
        <v>1530000</v>
      </c>
      <c r="J128" s="217">
        <f t="shared" si="78"/>
        <v>1190000</v>
      </c>
      <c r="K128" s="217">
        <f t="shared" si="78"/>
        <v>340000</v>
      </c>
      <c r="L128" s="217"/>
      <c r="M128" s="217"/>
      <c r="N128" s="217">
        <f t="shared" si="78"/>
        <v>1530000</v>
      </c>
      <c r="O128" s="217">
        <f t="shared" si="78"/>
        <v>0</v>
      </c>
      <c r="P128" s="217"/>
      <c r="Q128" s="217">
        <f t="shared" si="78"/>
        <v>0</v>
      </c>
      <c r="R128" s="217">
        <f t="shared" si="78"/>
        <v>0</v>
      </c>
      <c r="S128" s="217">
        <f t="shared" si="78"/>
        <v>1190000</v>
      </c>
      <c r="T128" s="217">
        <f t="shared" si="78"/>
        <v>340000</v>
      </c>
      <c r="U128" s="217">
        <f t="shared" si="78"/>
        <v>0</v>
      </c>
      <c r="V128" s="214"/>
      <c r="W128" s="281"/>
    </row>
    <row r="129" spans="1:23" x14ac:dyDescent="0.25">
      <c r="A129" s="234"/>
      <c r="B129" s="219" t="s">
        <v>414</v>
      </c>
      <c r="C129" s="219" t="s">
        <v>411</v>
      </c>
      <c r="D129" s="293"/>
      <c r="E129" s="277" t="s">
        <v>79</v>
      </c>
      <c r="F129" s="277"/>
      <c r="G129" s="220"/>
      <c r="H129" s="220"/>
      <c r="I129" s="221">
        <f>SUM(I130)</f>
        <v>1530000</v>
      </c>
      <c r="J129" s="221">
        <f>SUM(J130)</f>
        <v>1190000</v>
      </c>
      <c r="K129" s="221">
        <f>SUM(K130)</f>
        <v>340000</v>
      </c>
      <c r="L129" s="221"/>
      <c r="M129" s="221"/>
      <c r="N129" s="221">
        <f>SUM(N130)</f>
        <v>1530000</v>
      </c>
      <c r="O129" s="221">
        <f>SUM(O130)</f>
        <v>0</v>
      </c>
      <c r="P129" s="221"/>
      <c r="Q129" s="221">
        <f t="shared" ref="Q129:U129" si="79">SUM(Q130)</f>
        <v>0</v>
      </c>
      <c r="R129" s="221">
        <f t="shared" si="79"/>
        <v>0</v>
      </c>
      <c r="S129" s="221">
        <f t="shared" si="79"/>
        <v>1190000</v>
      </c>
      <c r="T129" s="221">
        <f t="shared" si="79"/>
        <v>340000</v>
      </c>
      <c r="U129" s="221">
        <f t="shared" si="79"/>
        <v>0</v>
      </c>
      <c r="V129" s="218"/>
      <c r="W129" s="282"/>
    </row>
    <row r="130" spans="1:23" x14ac:dyDescent="0.25">
      <c r="A130" s="233"/>
      <c r="B130" s="223" t="s">
        <v>414</v>
      </c>
      <c r="C130" s="223" t="s">
        <v>416</v>
      </c>
      <c r="D130" s="292"/>
      <c r="E130" s="258" t="s">
        <v>417</v>
      </c>
      <c r="F130" s="258"/>
      <c r="G130" s="224"/>
      <c r="H130" s="224"/>
      <c r="I130" s="225">
        <v>1530000</v>
      </c>
      <c r="J130" s="225">
        <v>1190000</v>
      </c>
      <c r="K130" s="225">
        <f>[1]Nov!I128</f>
        <v>340000</v>
      </c>
      <c r="L130" s="225"/>
      <c r="M130" s="225"/>
      <c r="N130" s="225">
        <f t="shared" ref="N130" si="80">J130+K130</f>
        <v>1530000</v>
      </c>
      <c r="O130" s="225">
        <f t="shared" ref="O130" si="81">I130-N130</f>
        <v>0</v>
      </c>
      <c r="P130" s="225"/>
      <c r="Q130" s="225"/>
      <c r="R130" s="225"/>
      <c r="S130" s="225">
        <v>1190000</v>
      </c>
      <c r="T130" s="225">
        <f>N130-S130</f>
        <v>340000</v>
      </c>
      <c r="U130" s="225"/>
      <c r="V130" s="222"/>
      <c r="W130" s="283"/>
    </row>
    <row r="131" spans="1:23" x14ac:dyDescent="0.25">
      <c r="A131" s="243"/>
      <c r="B131" s="244"/>
      <c r="C131" s="244"/>
      <c r="D131" s="294"/>
      <c r="E131" s="295"/>
      <c r="F131" s="295"/>
      <c r="G131" s="246"/>
      <c r="H131" s="246"/>
      <c r="I131" s="247"/>
      <c r="J131" s="247"/>
      <c r="K131" s="247"/>
      <c r="L131" s="247"/>
      <c r="M131" s="247"/>
      <c r="N131" s="247"/>
      <c r="O131" s="247"/>
      <c r="P131" s="247"/>
      <c r="Q131" s="247"/>
      <c r="R131" s="247"/>
      <c r="S131" s="247"/>
      <c r="T131" s="247"/>
      <c r="U131" s="247"/>
      <c r="V131" s="245"/>
      <c r="W131" s="283"/>
    </row>
    <row r="132" spans="1:23" x14ac:dyDescent="0.25">
      <c r="A132" s="232"/>
      <c r="B132" s="242" t="s">
        <v>418</v>
      </c>
      <c r="C132" s="232"/>
      <c r="D132" s="512" t="s">
        <v>419</v>
      </c>
      <c r="E132" s="512"/>
      <c r="F132" s="236"/>
      <c r="G132" s="236"/>
      <c r="H132" s="236"/>
      <c r="I132" s="237">
        <f>I133+I141+I148</f>
        <v>17646200</v>
      </c>
      <c r="J132" s="237">
        <f>J133+J141+J148</f>
        <v>12347500</v>
      </c>
      <c r="K132" s="237">
        <f>K133+K141+K148</f>
        <v>4718500</v>
      </c>
      <c r="L132" s="237"/>
      <c r="M132" s="237"/>
      <c r="N132" s="237">
        <f>N133+N141+N148</f>
        <v>17066000</v>
      </c>
      <c r="O132" s="237">
        <f>O133+O141+O148</f>
        <v>580200</v>
      </c>
      <c r="P132" s="237"/>
      <c r="Q132" s="237">
        <f t="shared" ref="Q132:U132" si="82">Q133+Q141+Q148</f>
        <v>1390000</v>
      </c>
      <c r="R132" s="237">
        <f t="shared" si="82"/>
        <v>0</v>
      </c>
      <c r="S132" s="237">
        <f t="shared" si="82"/>
        <v>3532500</v>
      </c>
      <c r="T132" s="237">
        <f t="shared" si="82"/>
        <v>7968500</v>
      </c>
      <c r="U132" s="237">
        <f t="shared" si="82"/>
        <v>4175000</v>
      </c>
      <c r="V132" s="214"/>
      <c r="W132" s="282"/>
    </row>
    <row r="133" spans="1:23" ht="30" x14ac:dyDescent="0.25">
      <c r="A133" s="232"/>
      <c r="B133" s="215" t="s">
        <v>420</v>
      </c>
      <c r="C133" s="232"/>
      <c r="D133" s="291"/>
      <c r="E133" s="236" t="s">
        <v>421</v>
      </c>
      <c r="F133" s="236" t="s">
        <v>686</v>
      </c>
      <c r="G133" s="216"/>
      <c r="H133" s="216"/>
      <c r="I133" s="217">
        <f>I134</f>
        <v>10547500</v>
      </c>
      <c r="J133" s="217">
        <f>J134</f>
        <v>10547500</v>
      </c>
      <c r="K133" s="217">
        <f>K134</f>
        <v>0</v>
      </c>
      <c r="L133" s="217"/>
      <c r="M133" s="217"/>
      <c r="N133" s="217">
        <f>N134</f>
        <v>10547500</v>
      </c>
      <c r="O133" s="217">
        <f>O134</f>
        <v>0</v>
      </c>
      <c r="P133" s="217"/>
      <c r="Q133" s="217">
        <f t="shared" ref="Q133:U133" si="83">Q134</f>
        <v>0</v>
      </c>
      <c r="R133" s="217">
        <f t="shared" si="83"/>
        <v>0</v>
      </c>
      <c r="S133" s="217">
        <f t="shared" si="83"/>
        <v>2987500</v>
      </c>
      <c r="T133" s="217">
        <f t="shared" si="83"/>
        <v>3585000</v>
      </c>
      <c r="U133" s="217">
        <f t="shared" si="83"/>
        <v>3975000</v>
      </c>
      <c r="V133" s="214"/>
      <c r="W133" s="283"/>
    </row>
    <row r="134" spans="1:23" x14ac:dyDescent="0.25">
      <c r="A134" s="232"/>
      <c r="B134" s="215" t="s">
        <v>420</v>
      </c>
      <c r="C134" s="215" t="s">
        <v>359</v>
      </c>
      <c r="D134" s="214"/>
      <c r="E134" s="216" t="s">
        <v>67</v>
      </c>
      <c r="F134" s="236"/>
      <c r="G134" s="216"/>
      <c r="H134" s="216"/>
      <c r="I134" s="217">
        <f>I135+I138</f>
        <v>10547500</v>
      </c>
      <c r="J134" s="217">
        <f>J135+J138</f>
        <v>10547500</v>
      </c>
      <c r="K134" s="217">
        <f>K135+K138</f>
        <v>0</v>
      </c>
      <c r="L134" s="217"/>
      <c r="M134" s="217"/>
      <c r="N134" s="217">
        <f>N135+N138</f>
        <v>10547500</v>
      </c>
      <c r="O134" s="217">
        <f>O135+O138</f>
        <v>0</v>
      </c>
      <c r="P134" s="217"/>
      <c r="Q134" s="217">
        <f t="shared" ref="Q134:U134" si="84">Q135+Q138</f>
        <v>0</v>
      </c>
      <c r="R134" s="217">
        <f t="shared" si="84"/>
        <v>0</v>
      </c>
      <c r="S134" s="217">
        <f t="shared" si="84"/>
        <v>2987500</v>
      </c>
      <c r="T134" s="217">
        <f t="shared" si="84"/>
        <v>3585000</v>
      </c>
      <c r="U134" s="217">
        <f t="shared" si="84"/>
        <v>3975000</v>
      </c>
      <c r="V134" s="214"/>
      <c r="W134" s="283"/>
    </row>
    <row r="135" spans="1:23" x14ac:dyDescent="0.25">
      <c r="A135" s="234"/>
      <c r="B135" s="219" t="s">
        <v>420</v>
      </c>
      <c r="C135" s="219" t="s">
        <v>360</v>
      </c>
      <c r="D135" s="218"/>
      <c r="E135" s="220" t="s">
        <v>361</v>
      </c>
      <c r="F135" s="277"/>
      <c r="G135" s="220"/>
      <c r="H135" s="220"/>
      <c r="I135" s="221">
        <f>SUM(I136:I137)</f>
        <v>3377500</v>
      </c>
      <c r="J135" s="221">
        <f>SUM(J136:J137)</f>
        <v>3377500</v>
      </c>
      <c r="K135" s="221">
        <f>SUM(K136:K137)</f>
        <v>0</v>
      </c>
      <c r="L135" s="221"/>
      <c r="M135" s="221"/>
      <c r="N135" s="221">
        <f>SUM(N136:N137)</f>
        <v>3377500</v>
      </c>
      <c r="O135" s="221">
        <f>SUM(O136:O137)</f>
        <v>0</v>
      </c>
      <c r="P135" s="221"/>
      <c r="Q135" s="221">
        <f t="shared" ref="Q135:U135" si="85">SUM(Q136:Q137)</f>
        <v>0</v>
      </c>
      <c r="R135" s="221">
        <f t="shared" si="85"/>
        <v>0</v>
      </c>
      <c r="S135" s="221">
        <f t="shared" si="85"/>
        <v>2987500</v>
      </c>
      <c r="T135" s="221">
        <f t="shared" si="85"/>
        <v>0</v>
      </c>
      <c r="U135" s="221">
        <f t="shared" si="85"/>
        <v>390000</v>
      </c>
      <c r="V135" s="218"/>
      <c r="W135" s="282"/>
    </row>
    <row r="136" spans="1:23" x14ac:dyDescent="0.25">
      <c r="A136" s="233"/>
      <c r="B136" s="223" t="s">
        <v>420</v>
      </c>
      <c r="C136" s="223" t="s">
        <v>366</v>
      </c>
      <c r="D136" s="222"/>
      <c r="E136" s="224" t="s">
        <v>367</v>
      </c>
      <c r="F136" s="258"/>
      <c r="G136" s="224"/>
      <c r="H136" s="224"/>
      <c r="I136" s="225">
        <v>3227500</v>
      </c>
      <c r="J136" s="225">
        <f>2987500+195000+45000</f>
        <v>3227500</v>
      </c>
      <c r="K136" s="225">
        <f>[1]Nov!I140</f>
        <v>0</v>
      </c>
      <c r="L136" s="225"/>
      <c r="M136" s="225"/>
      <c r="N136" s="225">
        <f t="shared" ref="N136:N137" si="86">J136+K136</f>
        <v>3227500</v>
      </c>
      <c r="O136" s="225">
        <f t="shared" ref="O136:O137" si="87">I136-N136</f>
        <v>0</v>
      </c>
      <c r="P136" s="225"/>
      <c r="Q136" s="225"/>
      <c r="R136" s="225"/>
      <c r="S136" s="225">
        <v>2987500</v>
      </c>
      <c r="T136" s="225"/>
      <c r="U136" s="225">
        <f>N136-S136</f>
        <v>240000</v>
      </c>
      <c r="V136" s="222"/>
      <c r="W136" s="283"/>
    </row>
    <row r="137" spans="1:23" x14ac:dyDescent="0.25">
      <c r="A137" s="233"/>
      <c r="B137" s="223" t="s">
        <v>420</v>
      </c>
      <c r="C137" s="223" t="s">
        <v>368</v>
      </c>
      <c r="D137" s="222"/>
      <c r="E137" s="224" t="s">
        <v>369</v>
      </c>
      <c r="F137" s="258"/>
      <c r="G137" s="224"/>
      <c r="H137" s="224"/>
      <c r="I137" s="225">
        <v>150000</v>
      </c>
      <c r="J137" s="225">
        <v>150000</v>
      </c>
      <c r="K137" s="225">
        <f>[1]Nov!I141</f>
        <v>0</v>
      </c>
      <c r="L137" s="225"/>
      <c r="M137" s="225"/>
      <c r="N137" s="225">
        <f t="shared" si="86"/>
        <v>150000</v>
      </c>
      <c r="O137" s="225">
        <f t="shared" si="87"/>
        <v>0</v>
      </c>
      <c r="P137" s="225"/>
      <c r="Q137" s="225"/>
      <c r="R137" s="225"/>
      <c r="S137" s="225"/>
      <c r="T137" s="225"/>
      <c r="U137" s="225">
        <f>N137</f>
        <v>150000</v>
      </c>
      <c r="V137" s="222"/>
      <c r="W137" s="283"/>
    </row>
    <row r="138" spans="1:23" x14ac:dyDescent="0.25">
      <c r="A138" s="234"/>
      <c r="B138" s="219" t="s">
        <v>420</v>
      </c>
      <c r="C138" s="219" t="s">
        <v>370</v>
      </c>
      <c r="D138" s="218"/>
      <c r="E138" s="220" t="s">
        <v>81</v>
      </c>
      <c r="F138" s="277"/>
      <c r="G138" s="220"/>
      <c r="H138" s="220"/>
      <c r="I138" s="221">
        <f>SUM(I139)</f>
        <v>7170000</v>
      </c>
      <c r="J138" s="221">
        <f>SUM(J139)</f>
        <v>7170000</v>
      </c>
      <c r="K138" s="221">
        <f>SUM(K139)</f>
        <v>0</v>
      </c>
      <c r="L138" s="221"/>
      <c r="M138" s="221"/>
      <c r="N138" s="221">
        <f>SUM(N139)</f>
        <v>7170000</v>
      </c>
      <c r="O138" s="221">
        <f>SUM(O139)</f>
        <v>0</v>
      </c>
      <c r="P138" s="221"/>
      <c r="Q138" s="221">
        <f t="shared" ref="Q138:U138" si="88">SUM(Q139)</f>
        <v>0</v>
      </c>
      <c r="R138" s="221">
        <f t="shared" si="88"/>
        <v>0</v>
      </c>
      <c r="S138" s="221">
        <f t="shared" si="88"/>
        <v>0</v>
      </c>
      <c r="T138" s="221">
        <f t="shared" si="88"/>
        <v>3585000</v>
      </c>
      <c r="U138" s="221">
        <f t="shared" si="88"/>
        <v>3585000</v>
      </c>
      <c r="V138" s="218"/>
      <c r="W138" s="283"/>
    </row>
    <row r="139" spans="1:23" x14ac:dyDescent="0.25">
      <c r="A139" s="243"/>
      <c r="B139" s="244" t="s">
        <v>420</v>
      </c>
      <c r="C139" s="244" t="s">
        <v>422</v>
      </c>
      <c r="D139" s="245"/>
      <c r="E139" s="246" t="s">
        <v>423</v>
      </c>
      <c r="F139" s="295"/>
      <c r="G139" s="246"/>
      <c r="H139" s="246"/>
      <c r="I139" s="247">
        <v>7170000</v>
      </c>
      <c r="J139" s="247">
        <f>3585000+3585000</f>
        <v>7170000</v>
      </c>
      <c r="K139" s="225">
        <f>[1]Nov!I143</f>
        <v>0</v>
      </c>
      <c r="L139" s="247"/>
      <c r="M139" s="247"/>
      <c r="N139" s="247">
        <f t="shared" ref="N139" si="89">J139+K139</f>
        <v>7170000</v>
      </c>
      <c r="O139" s="247">
        <f t="shared" ref="O139" si="90">I139-N139</f>
        <v>0</v>
      </c>
      <c r="P139" s="247"/>
      <c r="Q139" s="247"/>
      <c r="R139" s="247"/>
      <c r="S139" s="247"/>
      <c r="T139" s="247">
        <v>3585000</v>
      </c>
      <c r="U139" s="247">
        <f>N139-T139</f>
        <v>3585000</v>
      </c>
      <c r="V139" s="245"/>
      <c r="W139" s="283"/>
    </row>
    <row r="140" spans="1:23" x14ac:dyDescent="0.25">
      <c r="A140" s="233"/>
      <c r="B140" s="223"/>
      <c r="C140" s="223"/>
      <c r="D140" s="222"/>
      <c r="E140" s="224"/>
      <c r="F140" s="258"/>
      <c r="G140" s="224"/>
      <c r="H140" s="224"/>
      <c r="I140" s="225"/>
      <c r="J140" s="225"/>
      <c r="K140" s="225"/>
      <c r="L140" s="225"/>
      <c r="M140" s="225"/>
      <c r="N140" s="225"/>
      <c r="O140" s="225"/>
      <c r="P140" s="225"/>
      <c r="Q140" s="225"/>
      <c r="R140" s="225"/>
      <c r="S140" s="225"/>
      <c r="T140" s="225"/>
      <c r="U140" s="225"/>
      <c r="V140" s="222"/>
      <c r="W140" s="283"/>
    </row>
    <row r="141" spans="1:23" ht="45" x14ac:dyDescent="0.25">
      <c r="A141" s="249"/>
      <c r="B141" s="250" t="s">
        <v>424</v>
      </c>
      <c r="C141" s="249"/>
      <c r="D141" s="251"/>
      <c r="E141" s="252" t="s">
        <v>425</v>
      </c>
      <c r="F141" s="255" t="s">
        <v>687</v>
      </c>
      <c r="G141" s="252"/>
      <c r="H141" s="252"/>
      <c r="I141" s="253">
        <f t="shared" ref="I141:U142" si="91">I142</f>
        <v>545000</v>
      </c>
      <c r="J141" s="253">
        <f t="shared" si="91"/>
        <v>0</v>
      </c>
      <c r="K141" s="253">
        <f t="shared" si="91"/>
        <v>545000</v>
      </c>
      <c r="L141" s="253"/>
      <c r="M141" s="253"/>
      <c r="N141" s="253">
        <f t="shared" si="91"/>
        <v>545000</v>
      </c>
      <c r="O141" s="253">
        <f t="shared" si="91"/>
        <v>0</v>
      </c>
      <c r="P141" s="253"/>
      <c r="Q141" s="253">
        <f t="shared" si="91"/>
        <v>0</v>
      </c>
      <c r="R141" s="253">
        <f t="shared" si="91"/>
        <v>0</v>
      </c>
      <c r="S141" s="253">
        <f t="shared" si="91"/>
        <v>545000</v>
      </c>
      <c r="T141" s="253">
        <f t="shared" si="91"/>
        <v>0</v>
      </c>
      <c r="U141" s="253">
        <f t="shared" si="91"/>
        <v>0</v>
      </c>
      <c r="V141" s="251"/>
      <c r="W141" s="283"/>
    </row>
    <row r="142" spans="1:23" x14ac:dyDescent="0.25">
      <c r="A142" s="232"/>
      <c r="B142" s="215" t="s">
        <v>424</v>
      </c>
      <c r="C142" s="215" t="s">
        <v>359</v>
      </c>
      <c r="D142" s="214"/>
      <c r="E142" s="216" t="s">
        <v>67</v>
      </c>
      <c r="F142" s="236"/>
      <c r="G142" s="216"/>
      <c r="H142" s="216"/>
      <c r="I142" s="217">
        <f t="shared" si="91"/>
        <v>545000</v>
      </c>
      <c r="J142" s="217">
        <f t="shared" si="91"/>
        <v>0</v>
      </c>
      <c r="K142" s="217">
        <f t="shared" si="91"/>
        <v>545000</v>
      </c>
      <c r="L142" s="217"/>
      <c r="M142" s="217"/>
      <c r="N142" s="217">
        <f t="shared" si="91"/>
        <v>545000</v>
      </c>
      <c r="O142" s="217">
        <f t="shared" si="91"/>
        <v>0</v>
      </c>
      <c r="P142" s="217"/>
      <c r="Q142" s="217">
        <f t="shared" si="91"/>
        <v>0</v>
      </c>
      <c r="R142" s="217">
        <f t="shared" si="91"/>
        <v>0</v>
      </c>
      <c r="S142" s="217">
        <f t="shared" si="91"/>
        <v>545000</v>
      </c>
      <c r="T142" s="217">
        <f t="shared" si="91"/>
        <v>0</v>
      </c>
      <c r="U142" s="217">
        <f t="shared" si="91"/>
        <v>0</v>
      </c>
      <c r="V142" s="214"/>
      <c r="W142" s="283"/>
    </row>
    <row r="143" spans="1:23" x14ac:dyDescent="0.25">
      <c r="A143" s="234"/>
      <c r="B143" s="219" t="s">
        <v>424</v>
      </c>
      <c r="C143" s="219" t="s">
        <v>360</v>
      </c>
      <c r="D143" s="218"/>
      <c r="E143" s="220" t="s">
        <v>361</v>
      </c>
      <c r="F143" s="277"/>
      <c r="G143" s="220"/>
      <c r="H143" s="220"/>
      <c r="I143" s="221">
        <f>SUM(I144:I146)</f>
        <v>545000</v>
      </c>
      <c r="J143" s="221">
        <f>SUM(J144:J146)</f>
        <v>0</v>
      </c>
      <c r="K143" s="221">
        <f>SUM(K144:K146)</f>
        <v>545000</v>
      </c>
      <c r="L143" s="221"/>
      <c r="M143" s="221"/>
      <c r="N143" s="221">
        <f>SUM(N144:N146)</f>
        <v>545000</v>
      </c>
      <c r="O143" s="221">
        <f>SUM(O144:O146)</f>
        <v>0</v>
      </c>
      <c r="P143" s="221"/>
      <c r="Q143" s="221">
        <f t="shared" ref="Q143:U143" si="92">SUM(Q144:Q146)</f>
        <v>0</v>
      </c>
      <c r="R143" s="221">
        <f t="shared" si="92"/>
        <v>0</v>
      </c>
      <c r="S143" s="221">
        <f t="shared" si="92"/>
        <v>545000</v>
      </c>
      <c r="T143" s="221">
        <f t="shared" si="92"/>
        <v>0</v>
      </c>
      <c r="U143" s="221">
        <f t="shared" si="92"/>
        <v>0</v>
      </c>
      <c r="V143" s="218"/>
      <c r="W143" s="283"/>
    </row>
    <row r="144" spans="1:23" x14ac:dyDescent="0.25">
      <c r="A144" s="233"/>
      <c r="B144" s="223" t="s">
        <v>424</v>
      </c>
      <c r="C144" s="223" t="s">
        <v>362</v>
      </c>
      <c r="D144" s="222"/>
      <c r="E144" s="224" t="s">
        <v>363</v>
      </c>
      <c r="F144" s="258"/>
      <c r="G144" s="224"/>
      <c r="H144" s="224"/>
      <c r="I144" s="225">
        <v>65000</v>
      </c>
      <c r="J144" s="225">
        <v>0</v>
      </c>
      <c r="K144" s="225">
        <f>[1]Nov!I148</f>
        <v>65000</v>
      </c>
      <c r="L144" s="225"/>
      <c r="M144" s="225"/>
      <c r="N144" s="225">
        <f t="shared" ref="N144:N146" si="93">J144+K144</f>
        <v>65000</v>
      </c>
      <c r="O144" s="225">
        <f t="shared" ref="O144:O146" si="94">I144-N144</f>
        <v>0</v>
      </c>
      <c r="P144" s="225"/>
      <c r="Q144" s="225"/>
      <c r="R144" s="225"/>
      <c r="S144" s="225">
        <f>N144</f>
        <v>65000</v>
      </c>
      <c r="T144" s="225"/>
      <c r="U144" s="225"/>
      <c r="V144" s="222"/>
      <c r="W144" s="283"/>
    </row>
    <row r="145" spans="1:23" x14ac:dyDescent="0.25">
      <c r="A145" s="233"/>
      <c r="B145" s="223" t="s">
        <v>424</v>
      </c>
      <c r="C145" s="223" t="s">
        <v>366</v>
      </c>
      <c r="D145" s="222"/>
      <c r="E145" s="224" t="s">
        <v>367</v>
      </c>
      <c r="F145" s="258"/>
      <c r="G145" s="224"/>
      <c r="H145" s="224"/>
      <c r="I145" s="225">
        <v>120000</v>
      </c>
      <c r="J145" s="225">
        <v>0</v>
      </c>
      <c r="K145" s="225">
        <f>[1]Nov!I149</f>
        <v>120000</v>
      </c>
      <c r="L145" s="225"/>
      <c r="M145" s="225"/>
      <c r="N145" s="225">
        <f t="shared" si="93"/>
        <v>120000</v>
      </c>
      <c r="O145" s="225">
        <f t="shared" si="94"/>
        <v>0</v>
      </c>
      <c r="P145" s="225"/>
      <c r="Q145" s="225"/>
      <c r="R145" s="225"/>
      <c r="S145" s="225">
        <f t="shared" ref="S145:S146" si="95">N145</f>
        <v>120000</v>
      </c>
      <c r="T145" s="225"/>
      <c r="U145" s="225"/>
      <c r="V145" s="222"/>
      <c r="W145" s="281"/>
    </row>
    <row r="146" spans="1:23" x14ac:dyDescent="0.25">
      <c r="A146" s="233"/>
      <c r="B146" s="223" t="s">
        <v>424</v>
      </c>
      <c r="C146" s="223" t="s">
        <v>368</v>
      </c>
      <c r="D146" s="222"/>
      <c r="E146" s="224" t="s">
        <v>369</v>
      </c>
      <c r="F146" s="258"/>
      <c r="G146" s="224"/>
      <c r="H146" s="224"/>
      <c r="I146" s="225">
        <v>360000</v>
      </c>
      <c r="J146" s="225">
        <v>0</v>
      </c>
      <c r="K146" s="225">
        <f>[1]Nov!I150</f>
        <v>360000</v>
      </c>
      <c r="L146" s="225"/>
      <c r="M146" s="225"/>
      <c r="N146" s="225">
        <f t="shared" si="93"/>
        <v>360000</v>
      </c>
      <c r="O146" s="225">
        <f t="shared" si="94"/>
        <v>0</v>
      </c>
      <c r="P146" s="225"/>
      <c r="Q146" s="225"/>
      <c r="R146" s="225"/>
      <c r="S146" s="225">
        <f t="shared" si="95"/>
        <v>360000</v>
      </c>
      <c r="T146" s="225"/>
      <c r="U146" s="225"/>
      <c r="V146" s="222"/>
      <c r="W146" s="281"/>
    </row>
    <row r="147" spans="1:23" x14ac:dyDescent="0.25">
      <c r="A147" s="233"/>
      <c r="B147" s="223"/>
      <c r="C147" s="223"/>
      <c r="D147" s="222"/>
      <c r="E147" s="224"/>
      <c r="F147" s="258"/>
      <c r="G147" s="224"/>
      <c r="H147" s="224"/>
      <c r="I147" s="225"/>
      <c r="J147" s="225"/>
      <c r="K147" s="225"/>
      <c r="L147" s="225"/>
      <c r="M147" s="225"/>
      <c r="N147" s="225"/>
      <c r="O147" s="225"/>
      <c r="P147" s="225"/>
      <c r="Q147" s="225"/>
      <c r="R147" s="225"/>
      <c r="S147" s="225"/>
      <c r="T147" s="225"/>
      <c r="U147" s="225"/>
      <c r="V147" s="222"/>
      <c r="W147" s="282"/>
    </row>
    <row r="148" spans="1:23" ht="45" x14ac:dyDescent="0.25">
      <c r="A148" s="232"/>
      <c r="B148" s="215" t="s">
        <v>426</v>
      </c>
      <c r="C148" s="232"/>
      <c r="D148" s="214"/>
      <c r="E148" s="216" t="s">
        <v>427</v>
      </c>
      <c r="F148" s="236" t="s">
        <v>688</v>
      </c>
      <c r="G148" s="216"/>
      <c r="H148" s="216"/>
      <c r="I148" s="217">
        <f>I149</f>
        <v>6553700</v>
      </c>
      <c r="J148" s="217">
        <f>J149</f>
        <v>1800000</v>
      </c>
      <c r="K148" s="217">
        <f>K149</f>
        <v>4173500</v>
      </c>
      <c r="L148" s="217"/>
      <c r="M148" s="217"/>
      <c r="N148" s="217">
        <f>N149</f>
        <v>5973500</v>
      </c>
      <c r="O148" s="217">
        <f>O149</f>
        <v>580200</v>
      </c>
      <c r="P148" s="217"/>
      <c r="Q148" s="217">
        <f t="shared" ref="Q148:U148" si="96">Q149</f>
        <v>1390000</v>
      </c>
      <c r="R148" s="217">
        <f t="shared" si="96"/>
        <v>0</v>
      </c>
      <c r="S148" s="217">
        <f t="shared" si="96"/>
        <v>0</v>
      </c>
      <c r="T148" s="217">
        <f t="shared" si="96"/>
        <v>4383500</v>
      </c>
      <c r="U148" s="217">
        <f t="shared" si="96"/>
        <v>200000</v>
      </c>
      <c r="V148" s="214"/>
      <c r="W148" s="283"/>
    </row>
    <row r="149" spans="1:23" x14ac:dyDescent="0.25">
      <c r="A149" s="232"/>
      <c r="B149" s="215" t="s">
        <v>426</v>
      </c>
      <c r="C149" s="215" t="s">
        <v>359</v>
      </c>
      <c r="D149" s="214"/>
      <c r="E149" s="216" t="s">
        <v>67</v>
      </c>
      <c r="F149" s="236"/>
      <c r="G149" s="216"/>
      <c r="H149" s="216"/>
      <c r="I149" s="217">
        <f>I150+I154</f>
        <v>6553700</v>
      </c>
      <c r="J149" s="217">
        <f>J150+J154</f>
        <v>1800000</v>
      </c>
      <c r="K149" s="217">
        <f>K150+K154</f>
        <v>4173500</v>
      </c>
      <c r="L149" s="217"/>
      <c r="M149" s="217"/>
      <c r="N149" s="217">
        <f>N150+N154</f>
        <v>5973500</v>
      </c>
      <c r="O149" s="217">
        <f>O150+O154</f>
        <v>580200</v>
      </c>
      <c r="P149" s="217"/>
      <c r="Q149" s="217">
        <f t="shared" ref="Q149:U149" si="97">Q150+Q154</f>
        <v>1390000</v>
      </c>
      <c r="R149" s="217">
        <f t="shared" si="97"/>
        <v>0</v>
      </c>
      <c r="S149" s="217">
        <f t="shared" si="97"/>
        <v>0</v>
      </c>
      <c r="T149" s="217">
        <f t="shared" si="97"/>
        <v>4383500</v>
      </c>
      <c r="U149" s="217">
        <f t="shared" si="97"/>
        <v>200000</v>
      </c>
      <c r="V149" s="214"/>
      <c r="W149" s="283"/>
    </row>
    <row r="150" spans="1:23" x14ac:dyDescent="0.25">
      <c r="A150" s="234"/>
      <c r="B150" s="219" t="s">
        <v>426</v>
      </c>
      <c r="C150" s="219" t="s">
        <v>360</v>
      </c>
      <c r="D150" s="218"/>
      <c r="E150" s="220" t="s">
        <v>361</v>
      </c>
      <c r="F150" s="277"/>
      <c r="G150" s="220"/>
      <c r="H150" s="220"/>
      <c r="I150" s="221">
        <f>SUM(I151:I153)</f>
        <v>4133700</v>
      </c>
      <c r="J150" s="221">
        <f>SUM(J151:J153)</f>
        <v>0</v>
      </c>
      <c r="K150" s="221">
        <f>SUM(K151:K153)</f>
        <v>3553500</v>
      </c>
      <c r="L150" s="221"/>
      <c r="M150" s="221"/>
      <c r="N150" s="221">
        <f>SUM(N151:N153)</f>
        <v>3553500</v>
      </c>
      <c r="O150" s="221">
        <f>SUM(O151:O153)</f>
        <v>580200</v>
      </c>
      <c r="P150" s="221"/>
      <c r="Q150" s="221">
        <f t="shared" ref="Q150:U150" si="98">SUM(Q151:Q153)</f>
        <v>1050000</v>
      </c>
      <c r="R150" s="221">
        <f t="shared" si="98"/>
        <v>0</v>
      </c>
      <c r="S150" s="221">
        <f t="shared" si="98"/>
        <v>0</v>
      </c>
      <c r="T150" s="221">
        <f t="shared" si="98"/>
        <v>2303500</v>
      </c>
      <c r="U150" s="221">
        <f t="shared" si="98"/>
        <v>200000</v>
      </c>
      <c r="V150" s="218"/>
      <c r="W150" s="283"/>
    </row>
    <row r="151" spans="1:23" x14ac:dyDescent="0.25">
      <c r="A151" s="233"/>
      <c r="B151" s="223" t="s">
        <v>426</v>
      </c>
      <c r="C151" s="223" t="s">
        <v>362</v>
      </c>
      <c r="D151" s="222"/>
      <c r="E151" s="224" t="s">
        <v>363</v>
      </c>
      <c r="F151" s="258"/>
      <c r="G151" s="224"/>
      <c r="H151" s="224"/>
      <c r="I151" s="225">
        <v>440000</v>
      </c>
      <c r="J151" s="225">
        <v>0</v>
      </c>
      <c r="K151" s="225">
        <f>[1]Nov!I155</f>
        <v>440000</v>
      </c>
      <c r="L151" s="225"/>
      <c r="M151" s="225"/>
      <c r="N151" s="225">
        <f t="shared" ref="N151:N153" si="99">J151+K151</f>
        <v>440000</v>
      </c>
      <c r="O151" s="225">
        <f t="shared" ref="O151:O153" si="100">I151-N151</f>
        <v>0</v>
      </c>
      <c r="P151" s="225"/>
      <c r="Q151" s="225">
        <v>100000</v>
      </c>
      <c r="R151" s="225"/>
      <c r="S151" s="225"/>
      <c r="T151" s="225">
        <f>N151-Q151-U151</f>
        <v>140000</v>
      </c>
      <c r="U151" s="225">
        <v>200000</v>
      </c>
      <c r="V151" s="222"/>
      <c r="W151" s="282"/>
    </row>
    <row r="152" spans="1:23" x14ac:dyDescent="0.25">
      <c r="A152" s="233"/>
      <c r="B152" s="223" t="s">
        <v>426</v>
      </c>
      <c r="C152" s="223" t="s">
        <v>366</v>
      </c>
      <c r="D152" s="222"/>
      <c r="E152" s="224" t="s">
        <v>367</v>
      </c>
      <c r="F152" s="258"/>
      <c r="G152" s="224"/>
      <c r="H152" s="224"/>
      <c r="I152" s="225">
        <v>893700</v>
      </c>
      <c r="J152" s="225">
        <v>0</v>
      </c>
      <c r="K152" s="225">
        <f>[1]Nov!I156</f>
        <v>393500</v>
      </c>
      <c r="L152" s="225"/>
      <c r="M152" s="225"/>
      <c r="N152" s="225">
        <f t="shared" si="99"/>
        <v>393500</v>
      </c>
      <c r="O152" s="225">
        <f t="shared" si="100"/>
        <v>500200</v>
      </c>
      <c r="P152" s="225"/>
      <c r="Q152" s="225">
        <v>150000</v>
      </c>
      <c r="R152" s="225"/>
      <c r="S152" s="225"/>
      <c r="T152" s="225">
        <f>N152-Q152-U152</f>
        <v>243500</v>
      </c>
      <c r="U152" s="225"/>
      <c r="V152" s="222"/>
      <c r="W152" s="283"/>
    </row>
    <row r="153" spans="1:23" x14ac:dyDescent="0.25">
      <c r="A153" s="233"/>
      <c r="B153" s="223" t="s">
        <v>426</v>
      </c>
      <c r="C153" s="223" t="s">
        <v>368</v>
      </c>
      <c r="D153" s="222"/>
      <c r="E153" s="224" t="s">
        <v>369</v>
      </c>
      <c r="F153" s="258"/>
      <c r="G153" s="224"/>
      <c r="H153" s="224"/>
      <c r="I153" s="225">
        <v>2800000</v>
      </c>
      <c r="J153" s="225">
        <v>0</v>
      </c>
      <c r="K153" s="225">
        <f>[1]Nov!I157</f>
        <v>2720000</v>
      </c>
      <c r="L153" s="225"/>
      <c r="M153" s="225"/>
      <c r="N153" s="225">
        <f t="shared" si="99"/>
        <v>2720000</v>
      </c>
      <c r="O153" s="225">
        <f t="shared" si="100"/>
        <v>80000</v>
      </c>
      <c r="P153" s="225"/>
      <c r="Q153" s="225">
        <v>800000</v>
      </c>
      <c r="R153" s="225"/>
      <c r="S153" s="225"/>
      <c r="T153" s="225">
        <f>N153-Q153-U153</f>
        <v>1920000</v>
      </c>
      <c r="U153" s="225"/>
      <c r="V153" s="222"/>
      <c r="W153" s="283"/>
    </row>
    <row r="154" spans="1:23" x14ac:dyDescent="0.25">
      <c r="A154" s="234"/>
      <c r="B154" s="219" t="s">
        <v>426</v>
      </c>
      <c r="C154" s="219" t="s">
        <v>370</v>
      </c>
      <c r="D154" s="218"/>
      <c r="E154" s="220" t="s">
        <v>81</v>
      </c>
      <c r="F154" s="277"/>
      <c r="G154" s="220"/>
      <c r="H154" s="220"/>
      <c r="I154" s="221">
        <f>SUM(I155)</f>
        <v>2420000</v>
      </c>
      <c r="J154" s="221">
        <f>SUM(J155)</f>
        <v>1800000</v>
      </c>
      <c r="K154" s="221">
        <f>SUM(K155)</f>
        <v>620000</v>
      </c>
      <c r="L154" s="221"/>
      <c r="M154" s="221"/>
      <c r="N154" s="221">
        <f>SUM(N155)</f>
        <v>2420000</v>
      </c>
      <c r="O154" s="221">
        <f>SUM(O155)</f>
        <v>0</v>
      </c>
      <c r="P154" s="221"/>
      <c r="Q154" s="221">
        <f t="shared" ref="Q154:U154" si="101">SUM(Q155)</f>
        <v>340000</v>
      </c>
      <c r="R154" s="221">
        <f t="shared" si="101"/>
        <v>0</v>
      </c>
      <c r="S154" s="221">
        <f t="shared" si="101"/>
        <v>0</v>
      </c>
      <c r="T154" s="221">
        <f t="shared" si="101"/>
        <v>2080000</v>
      </c>
      <c r="U154" s="221">
        <f t="shared" si="101"/>
        <v>0</v>
      </c>
      <c r="V154" s="218"/>
      <c r="W154" s="281"/>
    </row>
    <row r="155" spans="1:23" x14ac:dyDescent="0.25">
      <c r="A155" s="233"/>
      <c r="B155" s="223" t="s">
        <v>426</v>
      </c>
      <c r="C155" s="223" t="s">
        <v>422</v>
      </c>
      <c r="D155" s="222"/>
      <c r="E155" s="224" t="s">
        <v>423</v>
      </c>
      <c r="F155" s="258"/>
      <c r="G155" s="224"/>
      <c r="H155" s="224"/>
      <c r="I155" s="225">
        <v>2420000</v>
      </c>
      <c r="J155" s="225">
        <f>900000+900000</f>
        <v>1800000</v>
      </c>
      <c r="K155" s="225">
        <f>[1]Nov!I159</f>
        <v>620000</v>
      </c>
      <c r="L155" s="225"/>
      <c r="M155" s="225"/>
      <c r="N155" s="225">
        <f t="shared" ref="N155" si="102">J155+K155</f>
        <v>2420000</v>
      </c>
      <c r="O155" s="225">
        <f t="shared" ref="O155" si="103">I155-N155</f>
        <v>0</v>
      </c>
      <c r="P155" s="225"/>
      <c r="Q155" s="225">
        <v>340000</v>
      </c>
      <c r="R155" s="225"/>
      <c r="S155" s="225"/>
      <c r="T155" s="225">
        <f>N155-Q155</f>
        <v>2080000</v>
      </c>
      <c r="U155" s="225"/>
      <c r="V155" s="222"/>
      <c r="W155" s="281"/>
    </row>
    <row r="156" spans="1:23" x14ac:dyDescent="0.25">
      <c r="A156" s="233"/>
      <c r="B156" s="223"/>
      <c r="C156" s="223"/>
      <c r="D156" s="222"/>
      <c r="E156" s="224"/>
      <c r="F156" s="258"/>
      <c r="G156" s="224"/>
      <c r="H156" s="224"/>
      <c r="I156" s="225"/>
      <c r="J156" s="225"/>
      <c r="K156" s="225"/>
      <c r="L156" s="225"/>
      <c r="M156" s="225"/>
      <c r="N156" s="225"/>
      <c r="O156" s="225"/>
      <c r="P156" s="225"/>
      <c r="Q156" s="225"/>
      <c r="R156" s="225"/>
      <c r="S156" s="225"/>
      <c r="T156" s="225"/>
      <c r="U156" s="225"/>
      <c r="V156" s="222"/>
      <c r="W156" s="281"/>
    </row>
    <row r="157" spans="1:23" x14ac:dyDescent="0.25">
      <c r="A157" s="232"/>
      <c r="B157" s="242" t="s">
        <v>428</v>
      </c>
      <c r="C157" s="232"/>
      <c r="D157" s="512" t="s">
        <v>429</v>
      </c>
      <c r="E157" s="512"/>
      <c r="F157" s="236"/>
      <c r="G157" s="236"/>
      <c r="H157" s="236"/>
      <c r="I157" s="237">
        <f>I158+I165+I171+I180+I186+I192+I198+I206+I212+I224</f>
        <v>79747716</v>
      </c>
      <c r="J157" s="237">
        <f>J158+J165+J171+J180+J186+J192+J198+J206+J212+J224</f>
        <v>31949800</v>
      </c>
      <c r="K157" s="237">
        <f>K158+K165+K171+K180+K186+K192+K198+K206+K212+K224</f>
        <v>44879250</v>
      </c>
      <c r="L157" s="237"/>
      <c r="M157" s="237"/>
      <c r="N157" s="237">
        <f>N158+N165+N171+N180+N186+N192+N198+N206+N212+N224</f>
        <v>76829050</v>
      </c>
      <c r="O157" s="237">
        <f>O158+O165+O171+O180+O186+O192+O198+O206+O212+O224</f>
        <v>2918666</v>
      </c>
      <c r="P157" s="237"/>
      <c r="Q157" s="237">
        <f>Q158+Q165+Q171+Q180+Q186+Q192+Q198+Q206+Q212+Q224</f>
        <v>14402250</v>
      </c>
      <c r="R157" s="237">
        <f>R158+R165+R171+R180+R186+R192+R198+R206+R212+R224</f>
        <v>49357550</v>
      </c>
      <c r="S157" s="237">
        <f>S158+S165+S171+S180+S186+S192+S198+S206+S212+S224</f>
        <v>5956750</v>
      </c>
      <c r="T157" s="237">
        <f>T158+T165+T171+T180+T186+T192+T198+T206+T212+T224</f>
        <v>0</v>
      </c>
      <c r="U157" s="237">
        <f>U158+U165+U171+U180+U186+U192+U198+U206+U212+U224</f>
        <v>7112500</v>
      </c>
      <c r="V157" s="214"/>
      <c r="W157" s="282"/>
    </row>
    <row r="158" spans="1:23" ht="60" x14ac:dyDescent="0.25">
      <c r="A158" s="232"/>
      <c r="B158" s="242" t="s">
        <v>430</v>
      </c>
      <c r="C158" s="232"/>
      <c r="D158" s="214"/>
      <c r="E158" s="236" t="s">
        <v>431</v>
      </c>
      <c r="F158" s="236" t="s">
        <v>689</v>
      </c>
      <c r="G158" s="236"/>
      <c r="H158" s="236"/>
      <c r="I158" s="237">
        <f t="shared" ref="I158:U159" si="104">I159</f>
        <v>11936858</v>
      </c>
      <c r="J158" s="237">
        <f t="shared" si="104"/>
        <v>800000</v>
      </c>
      <c r="K158" s="237">
        <f t="shared" si="104"/>
        <v>9656750</v>
      </c>
      <c r="L158" s="237"/>
      <c r="M158" s="237"/>
      <c r="N158" s="237">
        <f t="shared" si="104"/>
        <v>10456750</v>
      </c>
      <c r="O158" s="237">
        <f t="shared" si="104"/>
        <v>1480108</v>
      </c>
      <c r="P158" s="237"/>
      <c r="Q158" s="237">
        <f t="shared" si="104"/>
        <v>4200000</v>
      </c>
      <c r="R158" s="237">
        <f t="shared" si="104"/>
        <v>0</v>
      </c>
      <c r="S158" s="237">
        <f t="shared" si="104"/>
        <v>5306750</v>
      </c>
      <c r="T158" s="237">
        <f t="shared" si="104"/>
        <v>0</v>
      </c>
      <c r="U158" s="237">
        <f t="shared" si="104"/>
        <v>950000</v>
      </c>
      <c r="V158" s="214"/>
      <c r="W158" s="283"/>
    </row>
    <row r="159" spans="1:23" x14ac:dyDescent="0.25">
      <c r="A159" s="232"/>
      <c r="B159" s="215" t="s">
        <v>430</v>
      </c>
      <c r="C159" s="215" t="s">
        <v>359</v>
      </c>
      <c r="D159" s="214"/>
      <c r="E159" s="216" t="s">
        <v>67</v>
      </c>
      <c r="F159" s="236"/>
      <c r="G159" s="216"/>
      <c r="H159" s="216"/>
      <c r="I159" s="217">
        <f t="shared" si="104"/>
        <v>11936858</v>
      </c>
      <c r="J159" s="217">
        <f t="shared" si="104"/>
        <v>800000</v>
      </c>
      <c r="K159" s="217">
        <f t="shared" si="104"/>
        <v>9656750</v>
      </c>
      <c r="L159" s="217"/>
      <c r="M159" s="217"/>
      <c r="N159" s="217">
        <f t="shared" si="104"/>
        <v>10456750</v>
      </c>
      <c r="O159" s="217">
        <f t="shared" si="104"/>
        <v>1480108</v>
      </c>
      <c r="P159" s="217"/>
      <c r="Q159" s="217">
        <f t="shared" si="104"/>
        <v>4200000</v>
      </c>
      <c r="R159" s="217">
        <f t="shared" si="104"/>
        <v>0</v>
      </c>
      <c r="S159" s="217">
        <f t="shared" si="104"/>
        <v>5306750</v>
      </c>
      <c r="T159" s="217">
        <f t="shared" si="104"/>
        <v>0</v>
      </c>
      <c r="U159" s="217">
        <f t="shared" si="104"/>
        <v>950000</v>
      </c>
      <c r="V159" s="214"/>
      <c r="W159" s="283"/>
    </row>
    <row r="160" spans="1:23" x14ac:dyDescent="0.25">
      <c r="A160" s="234"/>
      <c r="B160" s="219" t="s">
        <v>430</v>
      </c>
      <c r="C160" s="219" t="s">
        <v>360</v>
      </c>
      <c r="D160" s="218"/>
      <c r="E160" s="220" t="s">
        <v>361</v>
      </c>
      <c r="F160" s="277"/>
      <c r="G160" s="220"/>
      <c r="H160" s="220"/>
      <c r="I160" s="221">
        <f>SUM(I161:I163)</f>
        <v>11936858</v>
      </c>
      <c r="J160" s="221">
        <f>SUM(J161:J163)</f>
        <v>800000</v>
      </c>
      <c r="K160" s="221">
        <f>SUM(K161:K163)</f>
        <v>9656750</v>
      </c>
      <c r="L160" s="221"/>
      <c r="M160" s="221"/>
      <c r="N160" s="221">
        <f>SUM(N161:N163)</f>
        <v>10456750</v>
      </c>
      <c r="O160" s="221">
        <f>SUM(O161:O163)</f>
        <v>1480108</v>
      </c>
      <c r="P160" s="221"/>
      <c r="Q160" s="221">
        <f t="shared" ref="Q160:U160" si="105">SUM(Q161:Q163)</f>
        <v>4200000</v>
      </c>
      <c r="R160" s="221">
        <f t="shared" si="105"/>
        <v>0</v>
      </c>
      <c r="S160" s="221">
        <f t="shared" si="105"/>
        <v>5306750</v>
      </c>
      <c r="T160" s="221">
        <f t="shared" si="105"/>
        <v>0</v>
      </c>
      <c r="U160" s="221">
        <f t="shared" si="105"/>
        <v>950000</v>
      </c>
      <c r="V160" s="218"/>
      <c r="W160" s="283"/>
    </row>
    <row r="161" spans="1:23" x14ac:dyDescent="0.25">
      <c r="A161" s="233"/>
      <c r="B161" s="223" t="s">
        <v>430</v>
      </c>
      <c r="C161" s="223" t="s">
        <v>362</v>
      </c>
      <c r="D161" s="222"/>
      <c r="E161" s="224" t="s">
        <v>363</v>
      </c>
      <c r="F161" s="258"/>
      <c r="G161" s="224"/>
      <c r="H161" s="224"/>
      <c r="I161" s="225">
        <v>530000</v>
      </c>
      <c r="J161" s="225">
        <v>0</v>
      </c>
      <c r="K161" s="225">
        <f>[1]Nov!I165</f>
        <v>530000</v>
      </c>
      <c r="L161" s="225"/>
      <c r="M161" s="225"/>
      <c r="N161" s="225">
        <f t="shared" ref="N161:N163" si="106">J161+K161</f>
        <v>530000</v>
      </c>
      <c r="O161" s="225">
        <f t="shared" ref="O161:O163" si="107">I161-N161</f>
        <v>0</v>
      </c>
      <c r="P161" s="225"/>
      <c r="Q161" s="225">
        <v>300000</v>
      </c>
      <c r="R161" s="225"/>
      <c r="S161" s="225">
        <f>N161-Q161-U161</f>
        <v>230000</v>
      </c>
      <c r="T161" s="225"/>
      <c r="U161" s="225"/>
      <c r="V161" s="222"/>
      <c r="W161" s="283"/>
    </row>
    <row r="162" spans="1:23" x14ac:dyDescent="0.25">
      <c r="A162" s="233"/>
      <c r="B162" s="223" t="s">
        <v>430</v>
      </c>
      <c r="C162" s="223" t="s">
        <v>366</v>
      </c>
      <c r="D162" s="222"/>
      <c r="E162" s="224" t="s">
        <v>367</v>
      </c>
      <c r="F162" s="258"/>
      <c r="G162" s="224"/>
      <c r="H162" s="224"/>
      <c r="I162" s="225">
        <v>1206858</v>
      </c>
      <c r="J162" s="225">
        <v>0</v>
      </c>
      <c r="K162" s="225">
        <f>[1]Nov!I166</f>
        <v>1206750</v>
      </c>
      <c r="L162" s="225"/>
      <c r="M162" s="225"/>
      <c r="N162" s="225">
        <f t="shared" si="106"/>
        <v>1206750</v>
      </c>
      <c r="O162" s="225">
        <f t="shared" si="107"/>
        <v>108</v>
      </c>
      <c r="P162" s="225"/>
      <c r="Q162" s="225">
        <v>500000</v>
      </c>
      <c r="R162" s="225"/>
      <c r="S162" s="225">
        <f t="shared" ref="S162:S163" si="108">N162-Q162-U162</f>
        <v>556750</v>
      </c>
      <c r="T162" s="225"/>
      <c r="U162" s="225">
        <v>150000</v>
      </c>
      <c r="V162" s="222"/>
      <c r="W162" s="281"/>
    </row>
    <row r="163" spans="1:23" x14ac:dyDescent="0.25">
      <c r="A163" s="233"/>
      <c r="B163" s="223" t="s">
        <v>430</v>
      </c>
      <c r="C163" s="223" t="s">
        <v>368</v>
      </c>
      <c r="D163" s="222"/>
      <c r="E163" s="224" t="s">
        <v>369</v>
      </c>
      <c r="F163" s="258"/>
      <c r="G163" s="224"/>
      <c r="H163" s="224"/>
      <c r="I163" s="225">
        <v>10200000</v>
      </c>
      <c r="J163" s="225">
        <v>800000</v>
      </c>
      <c r="K163" s="225">
        <f>[1]Nov!I167</f>
        <v>7920000</v>
      </c>
      <c r="L163" s="225"/>
      <c r="M163" s="225"/>
      <c r="N163" s="225">
        <f t="shared" si="106"/>
        <v>8720000</v>
      </c>
      <c r="O163" s="225">
        <f t="shared" si="107"/>
        <v>1480000</v>
      </c>
      <c r="P163" s="225"/>
      <c r="Q163" s="225">
        <f>4600000-1200000</f>
        <v>3400000</v>
      </c>
      <c r="R163" s="225"/>
      <c r="S163" s="225">
        <f t="shared" si="108"/>
        <v>4520000</v>
      </c>
      <c r="T163" s="225"/>
      <c r="U163" s="225">
        <v>800000</v>
      </c>
      <c r="V163" s="222"/>
      <c r="W163" s="281"/>
    </row>
    <row r="164" spans="1:23" x14ac:dyDescent="0.25">
      <c r="A164" s="233"/>
      <c r="B164" s="223"/>
      <c r="C164" s="223"/>
      <c r="D164" s="222"/>
      <c r="E164" s="224"/>
      <c r="F164" s="258"/>
      <c r="G164" s="224"/>
      <c r="H164" s="224"/>
      <c r="I164" s="225"/>
      <c r="J164" s="225"/>
      <c r="K164" s="225"/>
      <c r="L164" s="225"/>
      <c r="M164" s="225"/>
      <c r="N164" s="225"/>
      <c r="O164" s="225"/>
      <c r="P164" s="225"/>
      <c r="Q164" s="225"/>
      <c r="R164" s="225"/>
      <c r="S164" s="225"/>
      <c r="T164" s="225"/>
      <c r="U164" s="225"/>
      <c r="V164" s="222"/>
      <c r="W164" s="282"/>
    </row>
    <row r="165" spans="1:23" ht="45" x14ac:dyDescent="0.25">
      <c r="A165" s="232"/>
      <c r="B165" s="242" t="s">
        <v>432</v>
      </c>
      <c r="C165" s="232"/>
      <c r="D165" s="214"/>
      <c r="E165" s="236" t="s">
        <v>433</v>
      </c>
      <c r="F165" s="236" t="s">
        <v>690</v>
      </c>
      <c r="G165" s="236"/>
      <c r="H165" s="236"/>
      <c r="I165" s="237">
        <f t="shared" ref="I165:U166" si="109">I166</f>
        <v>4205500</v>
      </c>
      <c r="J165" s="237">
        <f t="shared" si="109"/>
        <v>0</v>
      </c>
      <c r="K165" s="237">
        <f t="shared" si="109"/>
        <v>4205500</v>
      </c>
      <c r="L165" s="237"/>
      <c r="M165" s="237"/>
      <c r="N165" s="237">
        <f t="shared" si="109"/>
        <v>4205500</v>
      </c>
      <c r="O165" s="237">
        <f t="shared" si="109"/>
        <v>0</v>
      </c>
      <c r="P165" s="237"/>
      <c r="Q165" s="237">
        <f t="shared" si="109"/>
        <v>4205500</v>
      </c>
      <c r="R165" s="237">
        <f t="shared" si="109"/>
        <v>0</v>
      </c>
      <c r="S165" s="237">
        <f t="shared" si="109"/>
        <v>0</v>
      </c>
      <c r="T165" s="237">
        <f t="shared" si="109"/>
        <v>0</v>
      </c>
      <c r="U165" s="237">
        <f t="shared" si="109"/>
        <v>0</v>
      </c>
      <c r="V165" s="214"/>
      <c r="W165" s="283"/>
    </row>
    <row r="166" spans="1:23" x14ac:dyDescent="0.25">
      <c r="A166" s="232"/>
      <c r="B166" s="215" t="s">
        <v>432</v>
      </c>
      <c r="C166" s="215" t="s">
        <v>359</v>
      </c>
      <c r="D166" s="214"/>
      <c r="E166" s="216" t="s">
        <v>67</v>
      </c>
      <c r="F166" s="236"/>
      <c r="G166" s="216"/>
      <c r="H166" s="216"/>
      <c r="I166" s="217">
        <f t="shared" si="109"/>
        <v>4205500</v>
      </c>
      <c r="J166" s="217">
        <f t="shared" si="109"/>
        <v>0</v>
      </c>
      <c r="K166" s="217">
        <f t="shared" si="109"/>
        <v>4205500</v>
      </c>
      <c r="L166" s="217"/>
      <c r="M166" s="217"/>
      <c r="N166" s="217">
        <f t="shared" si="109"/>
        <v>4205500</v>
      </c>
      <c r="O166" s="217">
        <f t="shared" si="109"/>
        <v>0</v>
      </c>
      <c r="P166" s="217"/>
      <c r="Q166" s="217">
        <f t="shared" si="109"/>
        <v>4205500</v>
      </c>
      <c r="R166" s="217">
        <f t="shared" si="109"/>
        <v>0</v>
      </c>
      <c r="S166" s="217">
        <f t="shared" si="109"/>
        <v>0</v>
      </c>
      <c r="T166" s="217">
        <f t="shared" si="109"/>
        <v>0</v>
      </c>
      <c r="U166" s="217">
        <f t="shared" si="109"/>
        <v>0</v>
      </c>
      <c r="V166" s="214"/>
      <c r="W166" s="283"/>
    </row>
    <row r="167" spans="1:23" x14ac:dyDescent="0.25">
      <c r="A167" s="234"/>
      <c r="B167" s="219" t="s">
        <v>432</v>
      </c>
      <c r="C167" s="219" t="s">
        <v>360</v>
      </c>
      <c r="D167" s="218"/>
      <c r="E167" s="220" t="s">
        <v>361</v>
      </c>
      <c r="F167" s="277"/>
      <c r="G167" s="220"/>
      <c r="H167" s="220"/>
      <c r="I167" s="221">
        <f>SUM(I168:I169)</f>
        <v>4205500</v>
      </c>
      <c r="J167" s="221">
        <f>SUM(J168:J169)</f>
        <v>0</v>
      </c>
      <c r="K167" s="221">
        <f>SUM(K168:K169)</f>
        <v>4205500</v>
      </c>
      <c r="L167" s="221"/>
      <c r="M167" s="221"/>
      <c r="N167" s="221">
        <f>SUM(N168:N169)</f>
        <v>4205500</v>
      </c>
      <c r="O167" s="221">
        <f>SUM(O168:O169)</f>
        <v>0</v>
      </c>
      <c r="P167" s="221"/>
      <c r="Q167" s="221">
        <f t="shared" ref="Q167:U167" si="110">SUM(Q168:Q169)</f>
        <v>4205500</v>
      </c>
      <c r="R167" s="221">
        <f t="shared" si="110"/>
        <v>0</v>
      </c>
      <c r="S167" s="221">
        <f t="shared" si="110"/>
        <v>0</v>
      </c>
      <c r="T167" s="221">
        <f t="shared" si="110"/>
        <v>0</v>
      </c>
      <c r="U167" s="221">
        <f t="shared" si="110"/>
        <v>0</v>
      </c>
      <c r="V167" s="218"/>
      <c r="W167" s="283"/>
    </row>
    <row r="168" spans="1:23" x14ac:dyDescent="0.25">
      <c r="A168" s="233"/>
      <c r="B168" s="223" t="s">
        <v>432</v>
      </c>
      <c r="C168" s="223" t="s">
        <v>366</v>
      </c>
      <c r="D168" s="222"/>
      <c r="E168" s="224" t="s">
        <v>367</v>
      </c>
      <c r="F168" s="258"/>
      <c r="G168" s="224"/>
      <c r="H168" s="224"/>
      <c r="I168" s="225">
        <v>793000</v>
      </c>
      <c r="J168" s="225">
        <v>0</v>
      </c>
      <c r="K168" s="225">
        <f>[1]Nov!I172</f>
        <v>793000</v>
      </c>
      <c r="L168" s="225"/>
      <c r="M168" s="225"/>
      <c r="N168" s="225">
        <f t="shared" ref="N168:N169" si="111">J168+K168</f>
        <v>793000</v>
      </c>
      <c r="O168" s="225">
        <f t="shared" ref="O168:O169" si="112">I168-N168</f>
        <v>0</v>
      </c>
      <c r="P168" s="225"/>
      <c r="Q168" s="225">
        <f>N168</f>
        <v>793000</v>
      </c>
      <c r="R168" s="225"/>
      <c r="S168" s="225"/>
      <c r="T168" s="225"/>
      <c r="U168" s="225"/>
      <c r="V168" s="222"/>
      <c r="W168" s="281"/>
    </row>
    <row r="169" spans="1:23" x14ac:dyDescent="0.25">
      <c r="A169" s="243"/>
      <c r="B169" s="244" t="s">
        <v>432</v>
      </c>
      <c r="C169" s="244" t="s">
        <v>368</v>
      </c>
      <c r="D169" s="245"/>
      <c r="E169" s="246" t="s">
        <v>369</v>
      </c>
      <c r="F169" s="295"/>
      <c r="G169" s="246"/>
      <c r="H169" s="246"/>
      <c r="I169" s="247">
        <v>3412500</v>
      </c>
      <c r="J169" s="247">
        <v>0</v>
      </c>
      <c r="K169" s="225">
        <f>[1]Nov!I173</f>
        <v>3412500</v>
      </c>
      <c r="L169" s="247"/>
      <c r="M169" s="247"/>
      <c r="N169" s="247">
        <f t="shared" si="111"/>
        <v>3412500</v>
      </c>
      <c r="O169" s="247">
        <f t="shared" si="112"/>
        <v>0</v>
      </c>
      <c r="P169" s="247"/>
      <c r="Q169" s="225">
        <f>N169</f>
        <v>3412500</v>
      </c>
      <c r="R169" s="247"/>
      <c r="S169" s="247"/>
      <c r="T169" s="247"/>
      <c r="U169" s="247"/>
      <c r="V169" s="245"/>
      <c r="W169" s="281"/>
    </row>
    <row r="170" spans="1:23" x14ac:dyDescent="0.25">
      <c r="A170" s="248"/>
      <c r="B170" s="289"/>
      <c r="C170" s="289"/>
      <c r="D170" s="265"/>
      <c r="E170" s="290"/>
      <c r="F170" s="297"/>
      <c r="G170" s="290"/>
      <c r="H170" s="290"/>
      <c r="I170" s="270"/>
      <c r="J170" s="270"/>
      <c r="K170" s="270"/>
      <c r="L170" s="270"/>
      <c r="M170" s="270"/>
      <c r="N170" s="270"/>
      <c r="O170" s="270"/>
      <c r="P170" s="270"/>
      <c r="Q170" s="270"/>
      <c r="R170" s="270"/>
      <c r="S170" s="270"/>
      <c r="T170" s="270"/>
      <c r="U170" s="270"/>
      <c r="V170" s="265"/>
      <c r="W170" s="282"/>
    </row>
    <row r="171" spans="1:23" ht="45" x14ac:dyDescent="0.25">
      <c r="A171" s="232"/>
      <c r="B171" s="250" t="s">
        <v>434</v>
      </c>
      <c r="C171" s="249"/>
      <c r="D171" s="251"/>
      <c r="E171" s="255" t="s">
        <v>435</v>
      </c>
      <c r="F171" s="255" t="s">
        <v>691</v>
      </c>
      <c r="G171" s="252"/>
      <c r="H171" s="252"/>
      <c r="I171" s="253">
        <f>I172</f>
        <v>7156858</v>
      </c>
      <c r="J171" s="253">
        <f>J172</f>
        <v>696750</v>
      </c>
      <c r="K171" s="253">
        <f>K172</f>
        <v>5800000</v>
      </c>
      <c r="L171" s="253"/>
      <c r="M171" s="253"/>
      <c r="N171" s="253">
        <f>N172</f>
        <v>6496750</v>
      </c>
      <c r="O171" s="253">
        <f>O172</f>
        <v>660108</v>
      </c>
      <c r="P171" s="253"/>
      <c r="Q171" s="253">
        <f t="shared" ref="Q171:U171" si="113">Q172</f>
        <v>5996750</v>
      </c>
      <c r="R171" s="253">
        <f t="shared" si="113"/>
        <v>0</v>
      </c>
      <c r="S171" s="253">
        <f t="shared" si="113"/>
        <v>500000</v>
      </c>
      <c r="T171" s="253">
        <f t="shared" si="113"/>
        <v>0</v>
      </c>
      <c r="U171" s="253">
        <f t="shared" si="113"/>
        <v>0</v>
      </c>
      <c r="V171" s="251"/>
      <c r="W171" s="282"/>
    </row>
    <row r="172" spans="1:23" x14ac:dyDescent="0.25">
      <c r="A172" s="232"/>
      <c r="B172" s="215" t="s">
        <v>434</v>
      </c>
      <c r="C172" s="215" t="s">
        <v>359</v>
      </c>
      <c r="D172" s="214"/>
      <c r="E172" s="216" t="s">
        <v>67</v>
      </c>
      <c r="F172" s="236"/>
      <c r="G172" s="216"/>
      <c r="H172" s="216"/>
      <c r="I172" s="217">
        <f>I173+I177</f>
        <v>7156858</v>
      </c>
      <c r="J172" s="217">
        <f>J173+J177</f>
        <v>696750</v>
      </c>
      <c r="K172" s="217">
        <f>K173+K177</f>
        <v>5800000</v>
      </c>
      <c r="L172" s="217"/>
      <c r="M172" s="217"/>
      <c r="N172" s="217">
        <f>N173+N177</f>
        <v>6496750</v>
      </c>
      <c r="O172" s="217">
        <f>O173+O177</f>
        <v>660108</v>
      </c>
      <c r="P172" s="217"/>
      <c r="Q172" s="217">
        <f t="shared" ref="Q172:U172" si="114">Q173+Q177</f>
        <v>5996750</v>
      </c>
      <c r="R172" s="217">
        <f t="shared" si="114"/>
        <v>0</v>
      </c>
      <c r="S172" s="217">
        <f t="shared" si="114"/>
        <v>500000</v>
      </c>
      <c r="T172" s="217">
        <f t="shared" si="114"/>
        <v>0</v>
      </c>
      <c r="U172" s="217">
        <f t="shared" si="114"/>
        <v>0</v>
      </c>
      <c r="V172" s="214"/>
      <c r="W172" s="283"/>
    </row>
    <row r="173" spans="1:23" x14ac:dyDescent="0.25">
      <c r="A173" s="234"/>
      <c r="B173" s="219" t="s">
        <v>434</v>
      </c>
      <c r="C173" s="219" t="s">
        <v>360</v>
      </c>
      <c r="D173" s="218"/>
      <c r="E173" s="220" t="s">
        <v>361</v>
      </c>
      <c r="F173" s="277"/>
      <c r="G173" s="220"/>
      <c r="H173" s="220"/>
      <c r="I173" s="221">
        <f>SUM(I174:I176)</f>
        <v>2956858</v>
      </c>
      <c r="J173" s="221">
        <f>SUM(J174:J176)</f>
        <v>696750</v>
      </c>
      <c r="K173" s="221">
        <f>SUM(K174:K176)</f>
        <v>1600000</v>
      </c>
      <c r="L173" s="221"/>
      <c r="M173" s="221"/>
      <c r="N173" s="221">
        <f>SUM(N174:N176)</f>
        <v>2296750</v>
      </c>
      <c r="O173" s="221">
        <f>SUM(O174:O176)</f>
        <v>660108</v>
      </c>
      <c r="P173" s="221"/>
      <c r="Q173" s="221">
        <f t="shared" ref="Q173:U173" si="115">SUM(Q174:Q176)</f>
        <v>1796750</v>
      </c>
      <c r="R173" s="221">
        <f t="shared" si="115"/>
        <v>0</v>
      </c>
      <c r="S173" s="221">
        <f t="shared" si="115"/>
        <v>500000</v>
      </c>
      <c r="T173" s="221">
        <f t="shared" si="115"/>
        <v>0</v>
      </c>
      <c r="U173" s="221">
        <f t="shared" si="115"/>
        <v>0</v>
      </c>
      <c r="V173" s="218"/>
      <c r="W173" s="283"/>
    </row>
    <row r="174" spans="1:23" x14ac:dyDescent="0.25">
      <c r="A174" s="233"/>
      <c r="B174" s="223" t="s">
        <v>434</v>
      </c>
      <c r="C174" s="223" t="s">
        <v>362</v>
      </c>
      <c r="D174" s="222"/>
      <c r="E174" s="224" t="s">
        <v>363</v>
      </c>
      <c r="F174" s="258"/>
      <c r="G174" s="224"/>
      <c r="H174" s="224"/>
      <c r="I174" s="225">
        <v>500000</v>
      </c>
      <c r="J174" s="225">
        <v>300000</v>
      </c>
      <c r="K174" s="225">
        <f>[1]Nov!I181</f>
        <v>200000</v>
      </c>
      <c r="L174" s="225"/>
      <c r="M174" s="225"/>
      <c r="N174" s="225">
        <f t="shared" ref="N174:N176" si="116">J174+K174</f>
        <v>500000</v>
      </c>
      <c r="O174" s="225">
        <f t="shared" ref="O174:O176" si="117">I174-N174</f>
        <v>0</v>
      </c>
      <c r="P174" s="225"/>
      <c r="Q174" s="225">
        <f>N174-S174</f>
        <v>300000</v>
      </c>
      <c r="R174" s="225"/>
      <c r="S174" s="225">
        <v>200000</v>
      </c>
      <c r="T174" s="225"/>
      <c r="U174" s="225"/>
      <c r="V174" s="222"/>
      <c r="W174" s="283"/>
    </row>
    <row r="175" spans="1:23" x14ac:dyDescent="0.25">
      <c r="A175" s="233"/>
      <c r="B175" s="223" t="s">
        <v>434</v>
      </c>
      <c r="C175" s="223" t="s">
        <v>366</v>
      </c>
      <c r="D175" s="222"/>
      <c r="E175" s="224" t="s">
        <v>367</v>
      </c>
      <c r="F175" s="258"/>
      <c r="G175" s="224"/>
      <c r="H175" s="224"/>
      <c r="I175" s="225">
        <v>696858</v>
      </c>
      <c r="J175" s="225">
        <v>396750</v>
      </c>
      <c r="K175" s="225">
        <f>[1]Nov!I182</f>
        <v>300000</v>
      </c>
      <c r="L175" s="225"/>
      <c r="M175" s="225"/>
      <c r="N175" s="225">
        <f t="shared" si="116"/>
        <v>696750</v>
      </c>
      <c r="O175" s="225">
        <f t="shared" si="117"/>
        <v>108</v>
      </c>
      <c r="P175" s="225"/>
      <c r="Q175" s="225">
        <f t="shared" ref="Q175:Q176" si="118">N175-S175</f>
        <v>396750</v>
      </c>
      <c r="R175" s="225"/>
      <c r="S175" s="225">
        <v>300000</v>
      </c>
      <c r="T175" s="225"/>
      <c r="U175" s="225"/>
      <c r="V175" s="222"/>
      <c r="W175" s="283"/>
    </row>
    <row r="176" spans="1:23" x14ac:dyDescent="0.25">
      <c r="A176" s="233"/>
      <c r="B176" s="223" t="s">
        <v>434</v>
      </c>
      <c r="C176" s="223" t="s">
        <v>368</v>
      </c>
      <c r="D176" s="222"/>
      <c r="E176" s="224" t="s">
        <v>369</v>
      </c>
      <c r="F176" s="258"/>
      <c r="G176" s="224"/>
      <c r="H176" s="224"/>
      <c r="I176" s="225">
        <v>1760000</v>
      </c>
      <c r="J176" s="225">
        <v>0</v>
      </c>
      <c r="K176" s="225">
        <f>[1]Nov!I183</f>
        <v>1100000</v>
      </c>
      <c r="L176" s="225"/>
      <c r="M176" s="225"/>
      <c r="N176" s="225">
        <f t="shared" si="116"/>
        <v>1100000</v>
      </c>
      <c r="O176" s="225">
        <f t="shared" si="117"/>
        <v>660000</v>
      </c>
      <c r="P176" s="225"/>
      <c r="Q176" s="225">
        <f t="shared" si="118"/>
        <v>1100000</v>
      </c>
      <c r="R176" s="225"/>
      <c r="S176" s="225"/>
      <c r="T176" s="225"/>
      <c r="U176" s="225"/>
      <c r="V176" s="222"/>
      <c r="W176" s="283"/>
    </row>
    <row r="177" spans="1:23" x14ac:dyDescent="0.25">
      <c r="A177" s="234"/>
      <c r="B177" s="219" t="s">
        <v>434</v>
      </c>
      <c r="C177" s="219" t="s">
        <v>370</v>
      </c>
      <c r="D177" s="218"/>
      <c r="E177" s="220" t="s">
        <v>81</v>
      </c>
      <c r="F177" s="277"/>
      <c r="G177" s="220"/>
      <c r="H177" s="220"/>
      <c r="I177" s="221">
        <f>SUM(I178)</f>
        <v>4200000</v>
      </c>
      <c r="J177" s="221">
        <f>SUM(J178)</f>
        <v>0</v>
      </c>
      <c r="K177" s="221">
        <f>SUM(K178)</f>
        <v>4200000</v>
      </c>
      <c r="L177" s="221"/>
      <c r="M177" s="221"/>
      <c r="N177" s="221">
        <f>SUM(N178)</f>
        <v>4200000</v>
      </c>
      <c r="O177" s="221">
        <f>SUM(O178)</f>
        <v>0</v>
      </c>
      <c r="P177" s="221"/>
      <c r="Q177" s="221">
        <f t="shared" ref="Q177:U177" si="119">SUM(Q178)</f>
        <v>4200000</v>
      </c>
      <c r="R177" s="221">
        <f t="shared" si="119"/>
        <v>0</v>
      </c>
      <c r="S177" s="221">
        <f t="shared" si="119"/>
        <v>0</v>
      </c>
      <c r="T177" s="221">
        <f t="shared" si="119"/>
        <v>0</v>
      </c>
      <c r="U177" s="221">
        <f t="shared" si="119"/>
        <v>0</v>
      </c>
      <c r="V177" s="218"/>
      <c r="W177" s="281"/>
    </row>
    <row r="178" spans="1:23" ht="30" x14ac:dyDescent="0.25">
      <c r="A178" s="243"/>
      <c r="B178" s="244" t="s">
        <v>434</v>
      </c>
      <c r="C178" s="244" t="s">
        <v>436</v>
      </c>
      <c r="D178" s="245"/>
      <c r="E178" s="295" t="s">
        <v>437</v>
      </c>
      <c r="F178" s="295"/>
      <c r="G178" s="246"/>
      <c r="H178" s="246"/>
      <c r="I178" s="247">
        <v>4200000</v>
      </c>
      <c r="J178" s="247">
        <v>0</v>
      </c>
      <c r="K178" s="225">
        <f>[1]Nov!I185</f>
        <v>4200000</v>
      </c>
      <c r="L178" s="247"/>
      <c r="M178" s="247"/>
      <c r="N178" s="247">
        <f t="shared" ref="N178" si="120">J178+K178</f>
        <v>4200000</v>
      </c>
      <c r="O178" s="247">
        <f t="shared" ref="O178" si="121">I178-N178</f>
        <v>0</v>
      </c>
      <c r="P178" s="247"/>
      <c r="Q178" s="247">
        <f>N178</f>
        <v>4200000</v>
      </c>
      <c r="R178" s="247"/>
      <c r="S178" s="247"/>
      <c r="T178" s="247"/>
      <c r="U178" s="247"/>
      <c r="V178" s="245"/>
      <c r="W178" s="281"/>
    </row>
    <row r="179" spans="1:23" x14ac:dyDescent="0.25">
      <c r="A179" s="233"/>
      <c r="B179" s="223"/>
      <c r="C179" s="223"/>
      <c r="D179" s="222"/>
      <c r="E179" s="224"/>
      <c r="F179" s="258"/>
      <c r="G179" s="224"/>
      <c r="H179" s="224"/>
      <c r="I179" s="225"/>
      <c r="J179" s="225"/>
      <c r="K179" s="225"/>
      <c r="L179" s="225"/>
      <c r="M179" s="225"/>
      <c r="N179" s="225"/>
      <c r="O179" s="225"/>
      <c r="P179" s="225"/>
      <c r="Q179" s="225"/>
      <c r="R179" s="225"/>
      <c r="S179" s="225"/>
      <c r="T179" s="225"/>
      <c r="U179" s="225"/>
      <c r="V179" s="222"/>
      <c r="W179" s="282"/>
    </row>
    <row r="180" spans="1:23" ht="49.5" customHeight="1" x14ac:dyDescent="0.25">
      <c r="A180" s="249"/>
      <c r="B180" s="254" t="s">
        <v>438</v>
      </c>
      <c r="C180" s="249"/>
      <c r="D180" s="251"/>
      <c r="E180" s="255" t="s">
        <v>439</v>
      </c>
      <c r="F180" s="255" t="s">
        <v>692</v>
      </c>
      <c r="G180" s="255"/>
      <c r="H180" s="255"/>
      <c r="I180" s="256">
        <f t="shared" ref="I180:U181" si="122">I181</f>
        <v>1452500</v>
      </c>
      <c r="J180" s="256">
        <f t="shared" si="122"/>
        <v>350000</v>
      </c>
      <c r="K180" s="256">
        <f t="shared" si="122"/>
        <v>1102500</v>
      </c>
      <c r="L180" s="256"/>
      <c r="M180" s="256"/>
      <c r="N180" s="256">
        <f t="shared" si="122"/>
        <v>1452500</v>
      </c>
      <c r="O180" s="256">
        <f t="shared" si="122"/>
        <v>0</v>
      </c>
      <c r="P180" s="256"/>
      <c r="Q180" s="256">
        <f t="shared" si="122"/>
        <v>0</v>
      </c>
      <c r="R180" s="256">
        <f t="shared" si="122"/>
        <v>0</v>
      </c>
      <c r="S180" s="256">
        <f t="shared" si="122"/>
        <v>150000</v>
      </c>
      <c r="T180" s="256">
        <f t="shared" si="122"/>
        <v>0</v>
      </c>
      <c r="U180" s="256">
        <f t="shared" si="122"/>
        <v>1302500</v>
      </c>
      <c r="V180" s="251"/>
      <c r="W180" s="281"/>
    </row>
    <row r="181" spans="1:23" x14ac:dyDescent="0.25">
      <c r="A181" s="232"/>
      <c r="B181" s="215" t="s">
        <v>438</v>
      </c>
      <c r="C181" s="215" t="s">
        <v>359</v>
      </c>
      <c r="D181" s="214"/>
      <c r="E181" s="216" t="s">
        <v>67</v>
      </c>
      <c r="F181" s="236"/>
      <c r="G181" s="216"/>
      <c r="H181" s="216"/>
      <c r="I181" s="217">
        <f t="shared" si="122"/>
        <v>1452500</v>
      </c>
      <c r="J181" s="217">
        <f t="shared" si="122"/>
        <v>350000</v>
      </c>
      <c r="K181" s="217">
        <f t="shared" si="122"/>
        <v>1102500</v>
      </c>
      <c r="L181" s="217"/>
      <c r="M181" s="217"/>
      <c r="N181" s="217">
        <f t="shared" si="122"/>
        <v>1452500</v>
      </c>
      <c r="O181" s="217">
        <f t="shared" si="122"/>
        <v>0</v>
      </c>
      <c r="P181" s="217"/>
      <c r="Q181" s="217">
        <f t="shared" si="122"/>
        <v>0</v>
      </c>
      <c r="R181" s="217">
        <f t="shared" si="122"/>
        <v>0</v>
      </c>
      <c r="S181" s="217">
        <f t="shared" si="122"/>
        <v>150000</v>
      </c>
      <c r="T181" s="217">
        <f t="shared" si="122"/>
        <v>0</v>
      </c>
      <c r="U181" s="217">
        <f t="shared" si="122"/>
        <v>1302500</v>
      </c>
      <c r="V181" s="214"/>
      <c r="W181" s="281"/>
    </row>
    <row r="182" spans="1:23" ht="15" customHeight="1" x14ac:dyDescent="0.25">
      <c r="A182" s="234"/>
      <c r="B182" s="219" t="s">
        <v>438</v>
      </c>
      <c r="C182" s="219" t="s">
        <v>360</v>
      </c>
      <c r="D182" s="218"/>
      <c r="E182" s="220" t="s">
        <v>361</v>
      </c>
      <c r="F182" s="236"/>
      <c r="G182" s="220"/>
      <c r="H182" s="220"/>
      <c r="I182" s="221">
        <f>SUM(I183:I184)</f>
        <v>1452500</v>
      </c>
      <c r="J182" s="221">
        <f>SUM(J183:J184)</f>
        <v>350000</v>
      </c>
      <c r="K182" s="221">
        <f>SUM(K183:K184)</f>
        <v>1102500</v>
      </c>
      <c r="L182" s="221"/>
      <c r="M182" s="221"/>
      <c r="N182" s="221">
        <f>SUM(N183:N184)</f>
        <v>1452500</v>
      </c>
      <c r="O182" s="221">
        <f>SUM(O183:O184)</f>
        <v>0</v>
      </c>
      <c r="P182" s="221"/>
      <c r="Q182" s="221">
        <f t="shared" ref="Q182:U182" si="123">SUM(Q183:Q184)</f>
        <v>0</v>
      </c>
      <c r="R182" s="221">
        <f t="shared" si="123"/>
        <v>0</v>
      </c>
      <c r="S182" s="221">
        <f t="shared" si="123"/>
        <v>150000</v>
      </c>
      <c r="T182" s="221">
        <f t="shared" si="123"/>
        <v>0</v>
      </c>
      <c r="U182" s="221">
        <f t="shared" si="123"/>
        <v>1302500</v>
      </c>
      <c r="V182" s="218"/>
      <c r="W182" s="282"/>
    </row>
    <row r="183" spans="1:23" x14ac:dyDescent="0.25">
      <c r="A183" s="233"/>
      <c r="B183" s="223" t="s">
        <v>438</v>
      </c>
      <c r="C183" s="223" t="s">
        <v>362</v>
      </c>
      <c r="D183" s="222"/>
      <c r="E183" s="224" t="s">
        <v>363</v>
      </c>
      <c r="F183" s="258"/>
      <c r="G183" s="224"/>
      <c r="H183" s="224"/>
      <c r="I183" s="225">
        <v>550000</v>
      </c>
      <c r="J183" s="225">
        <v>150000</v>
      </c>
      <c r="K183" s="225">
        <f>[1]Nov!I190</f>
        <v>400000</v>
      </c>
      <c r="L183" s="225"/>
      <c r="M183" s="225"/>
      <c r="N183" s="225">
        <f t="shared" ref="N183:N184" si="124">J183+K183</f>
        <v>550000</v>
      </c>
      <c r="O183" s="225">
        <f t="shared" ref="O183:O184" si="125">I183-N183</f>
        <v>0</v>
      </c>
      <c r="P183" s="225"/>
      <c r="Q183" s="225"/>
      <c r="R183" s="225"/>
      <c r="S183" s="225">
        <v>150000</v>
      </c>
      <c r="T183" s="225"/>
      <c r="U183" s="225">
        <f>N183-S183</f>
        <v>400000</v>
      </c>
      <c r="V183" s="222"/>
      <c r="W183" s="283"/>
    </row>
    <row r="184" spans="1:23" x14ac:dyDescent="0.25">
      <c r="A184" s="233"/>
      <c r="B184" s="223" t="s">
        <v>438</v>
      </c>
      <c r="C184" s="223" t="s">
        <v>366</v>
      </c>
      <c r="D184" s="222"/>
      <c r="E184" s="224" t="s">
        <v>367</v>
      </c>
      <c r="F184" s="258"/>
      <c r="G184" s="224"/>
      <c r="H184" s="224"/>
      <c r="I184" s="225">
        <v>902500</v>
      </c>
      <c r="J184" s="225">
        <v>200000</v>
      </c>
      <c r="K184" s="225">
        <f>[1]Nov!I191</f>
        <v>702500</v>
      </c>
      <c r="L184" s="225"/>
      <c r="M184" s="225"/>
      <c r="N184" s="225">
        <f t="shared" si="124"/>
        <v>902500</v>
      </c>
      <c r="O184" s="225">
        <f t="shared" si="125"/>
        <v>0</v>
      </c>
      <c r="P184" s="225"/>
      <c r="Q184" s="225"/>
      <c r="R184" s="225"/>
      <c r="S184" s="225"/>
      <c r="T184" s="225"/>
      <c r="U184" s="225">
        <f>N184-S184</f>
        <v>902500</v>
      </c>
      <c r="V184" s="222"/>
      <c r="W184" s="283"/>
    </row>
    <row r="185" spans="1:23" x14ac:dyDescent="0.25">
      <c r="A185" s="233"/>
      <c r="B185" s="223"/>
      <c r="C185" s="223"/>
      <c r="D185" s="222"/>
      <c r="E185" s="224"/>
      <c r="F185" s="258"/>
      <c r="G185" s="224"/>
      <c r="H185" s="224"/>
      <c r="I185" s="225"/>
      <c r="J185" s="225"/>
      <c r="K185" s="225"/>
      <c r="L185" s="225"/>
      <c r="M185" s="225"/>
      <c r="N185" s="225"/>
      <c r="O185" s="225"/>
      <c r="P185" s="225"/>
      <c r="Q185" s="225"/>
      <c r="R185" s="225"/>
      <c r="S185" s="225"/>
      <c r="T185" s="225"/>
      <c r="U185" s="225"/>
      <c r="V185" s="222"/>
      <c r="W185" s="283"/>
    </row>
    <row r="186" spans="1:23" ht="45" x14ac:dyDescent="0.25">
      <c r="A186" s="232"/>
      <c r="B186" s="242" t="s">
        <v>440</v>
      </c>
      <c r="C186" s="232"/>
      <c r="D186" s="214"/>
      <c r="E186" s="236" t="s">
        <v>441</v>
      </c>
      <c r="F186" s="236" t="s">
        <v>693</v>
      </c>
      <c r="G186" s="236"/>
      <c r="H186" s="236"/>
      <c r="I186" s="237">
        <f t="shared" ref="I186:U187" si="126">I187</f>
        <v>260000</v>
      </c>
      <c r="J186" s="237">
        <f t="shared" si="126"/>
        <v>260000</v>
      </c>
      <c r="K186" s="237">
        <f t="shared" si="126"/>
        <v>0</v>
      </c>
      <c r="L186" s="237"/>
      <c r="M186" s="237"/>
      <c r="N186" s="237">
        <f t="shared" si="126"/>
        <v>260000</v>
      </c>
      <c r="O186" s="237">
        <f t="shared" si="126"/>
        <v>0</v>
      </c>
      <c r="P186" s="237"/>
      <c r="Q186" s="237">
        <f t="shared" si="126"/>
        <v>0</v>
      </c>
      <c r="R186" s="237">
        <f t="shared" si="126"/>
        <v>0</v>
      </c>
      <c r="S186" s="237">
        <f t="shared" si="126"/>
        <v>0</v>
      </c>
      <c r="T186" s="237">
        <f t="shared" si="126"/>
        <v>0</v>
      </c>
      <c r="U186" s="237">
        <f t="shared" si="126"/>
        <v>260000</v>
      </c>
      <c r="V186" s="214"/>
      <c r="W186" s="281"/>
    </row>
    <row r="187" spans="1:23" x14ac:dyDescent="0.25">
      <c r="A187" s="232"/>
      <c r="B187" s="215" t="s">
        <v>440</v>
      </c>
      <c r="C187" s="215" t="s">
        <v>359</v>
      </c>
      <c r="D187" s="214"/>
      <c r="E187" s="216" t="s">
        <v>67</v>
      </c>
      <c r="F187" s="236"/>
      <c r="G187" s="216"/>
      <c r="H187" s="216"/>
      <c r="I187" s="217">
        <f t="shared" si="126"/>
        <v>260000</v>
      </c>
      <c r="J187" s="217">
        <f t="shared" si="126"/>
        <v>260000</v>
      </c>
      <c r="K187" s="217">
        <f t="shared" si="126"/>
        <v>0</v>
      </c>
      <c r="L187" s="217"/>
      <c r="M187" s="217"/>
      <c r="N187" s="217">
        <f t="shared" si="126"/>
        <v>260000</v>
      </c>
      <c r="O187" s="217">
        <f t="shared" si="126"/>
        <v>0</v>
      </c>
      <c r="P187" s="217"/>
      <c r="Q187" s="217">
        <f t="shared" si="126"/>
        <v>0</v>
      </c>
      <c r="R187" s="217">
        <f t="shared" si="126"/>
        <v>0</v>
      </c>
      <c r="S187" s="217">
        <f t="shared" si="126"/>
        <v>0</v>
      </c>
      <c r="T187" s="217">
        <f t="shared" si="126"/>
        <v>0</v>
      </c>
      <c r="U187" s="217">
        <f t="shared" si="126"/>
        <v>260000</v>
      </c>
      <c r="V187" s="214"/>
      <c r="W187" s="281"/>
    </row>
    <row r="188" spans="1:23" x14ac:dyDescent="0.25">
      <c r="A188" s="234"/>
      <c r="B188" s="219" t="s">
        <v>440</v>
      </c>
      <c r="C188" s="219" t="s">
        <v>360</v>
      </c>
      <c r="D188" s="218"/>
      <c r="E188" s="220" t="s">
        <v>361</v>
      </c>
      <c r="F188" s="277"/>
      <c r="G188" s="220"/>
      <c r="H188" s="220"/>
      <c r="I188" s="221">
        <f>SUM(I189:I190)</f>
        <v>260000</v>
      </c>
      <c r="J188" s="221">
        <f>SUM(J189:J190)</f>
        <v>260000</v>
      </c>
      <c r="K188" s="221">
        <f>SUM(K189:K190)</f>
        <v>0</v>
      </c>
      <c r="L188" s="221"/>
      <c r="M188" s="221"/>
      <c r="N188" s="221">
        <f>SUM(N189:N190)</f>
        <v>260000</v>
      </c>
      <c r="O188" s="221">
        <f>SUM(O189:O190)</f>
        <v>0</v>
      </c>
      <c r="P188" s="221"/>
      <c r="Q188" s="221">
        <f t="shared" ref="Q188:U188" si="127">SUM(Q189:Q190)</f>
        <v>0</v>
      </c>
      <c r="R188" s="221">
        <f t="shared" si="127"/>
        <v>0</v>
      </c>
      <c r="S188" s="221">
        <f t="shared" si="127"/>
        <v>0</v>
      </c>
      <c r="T188" s="221">
        <f t="shared" si="127"/>
        <v>0</v>
      </c>
      <c r="U188" s="221">
        <f t="shared" si="127"/>
        <v>260000</v>
      </c>
      <c r="V188" s="218"/>
      <c r="W188" s="282"/>
    </row>
    <row r="189" spans="1:23" x14ac:dyDescent="0.25">
      <c r="A189" s="233"/>
      <c r="B189" s="223" t="s">
        <v>440</v>
      </c>
      <c r="C189" s="223" t="s">
        <v>362</v>
      </c>
      <c r="D189" s="222"/>
      <c r="E189" s="224" t="s">
        <v>363</v>
      </c>
      <c r="F189" s="258"/>
      <c r="G189" s="224"/>
      <c r="H189" s="224"/>
      <c r="I189" s="225">
        <v>110000</v>
      </c>
      <c r="J189" s="225">
        <v>110000</v>
      </c>
      <c r="K189" s="225">
        <f>[1]Nov!I196</f>
        <v>0</v>
      </c>
      <c r="L189" s="225"/>
      <c r="M189" s="225"/>
      <c r="N189" s="225">
        <f t="shared" ref="N189:N190" si="128">J189+K189</f>
        <v>110000</v>
      </c>
      <c r="O189" s="225">
        <f t="shared" ref="O189:O190" si="129">I189-N189</f>
        <v>0</v>
      </c>
      <c r="P189" s="225"/>
      <c r="Q189" s="225"/>
      <c r="R189" s="225"/>
      <c r="S189" s="225"/>
      <c r="T189" s="225"/>
      <c r="U189" s="225">
        <f>N189</f>
        <v>110000</v>
      </c>
      <c r="V189" s="222"/>
      <c r="W189" s="283"/>
    </row>
    <row r="190" spans="1:23" x14ac:dyDescent="0.25">
      <c r="A190" s="233"/>
      <c r="B190" s="223" t="s">
        <v>440</v>
      </c>
      <c r="C190" s="223" t="s">
        <v>366</v>
      </c>
      <c r="D190" s="222"/>
      <c r="E190" s="224" t="s">
        <v>367</v>
      </c>
      <c r="F190" s="258"/>
      <c r="G190" s="224"/>
      <c r="H190" s="224"/>
      <c r="I190" s="225">
        <v>150000</v>
      </c>
      <c r="J190" s="225">
        <v>150000</v>
      </c>
      <c r="K190" s="225">
        <f>[1]Nov!I197</f>
        <v>0</v>
      </c>
      <c r="L190" s="225"/>
      <c r="M190" s="225"/>
      <c r="N190" s="225">
        <f t="shared" si="128"/>
        <v>150000</v>
      </c>
      <c r="O190" s="225">
        <f t="shared" si="129"/>
        <v>0</v>
      </c>
      <c r="P190" s="225"/>
      <c r="Q190" s="225"/>
      <c r="R190" s="225"/>
      <c r="S190" s="225"/>
      <c r="T190" s="225"/>
      <c r="U190" s="225">
        <f>N190</f>
        <v>150000</v>
      </c>
      <c r="V190" s="222"/>
      <c r="W190" s="283"/>
    </row>
    <row r="191" spans="1:23" x14ac:dyDescent="0.25">
      <c r="A191" s="233"/>
      <c r="B191" s="223"/>
      <c r="C191" s="223"/>
      <c r="D191" s="222"/>
      <c r="E191" s="224"/>
      <c r="F191" s="258"/>
      <c r="G191" s="224"/>
      <c r="H191" s="224"/>
      <c r="I191" s="225"/>
      <c r="J191" s="225"/>
      <c r="K191" s="225"/>
      <c r="L191" s="225"/>
      <c r="M191" s="225"/>
      <c r="N191" s="225"/>
      <c r="O191" s="225"/>
      <c r="P191" s="225"/>
      <c r="Q191" s="225"/>
      <c r="R191" s="225"/>
      <c r="S191" s="225"/>
      <c r="T191" s="225"/>
      <c r="U191" s="225"/>
      <c r="V191" s="222"/>
      <c r="W191" s="283"/>
    </row>
    <row r="192" spans="1:23" ht="45" x14ac:dyDescent="0.25">
      <c r="A192" s="232"/>
      <c r="B192" s="242" t="s">
        <v>442</v>
      </c>
      <c r="C192" s="232"/>
      <c r="D192" s="214"/>
      <c r="E192" s="236" t="s">
        <v>443</v>
      </c>
      <c r="F192" s="236" t="s">
        <v>694</v>
      </c>
      <c r="G192" s="236"/>
      <c r="H192" s="236"/>
      <c r="I192" s="237">
        <f t="shared" ref="I192:U193" si="130">I193</f>
        <v>160000</v>
      </c>
      <c r="J192" s="237">
        <f t="shared" si="130"/>
        <v>0</v>
      </c>
      <c r="K192" s="237">
        <f t="shared" si="130"/>
        <v>160000</v>
      </c>
      <c r="L192" s="237"/>
      <c r="M192" s="237"/>
      <c r="N192" s="237">
        <f t="shared" si="130"/>
        <v>160000</v>
      </c>
      <c r="O192" s="237">
        <f t="shared" si="130"/>
        <v>0</v>
      </c>
      <c r="P192" s="237"/>
      <c r="Q192" s="237">
        <f t="shared" si="130"/>
        <v>0</v>
      </c>
      <c r="R192" s="237">
        <f t="shared" si="130"/>
        <v>0</v>
      </c>
      <c r="S192" s="237">
        <f t="shared" si="130"/>
        <v>0</v>
      </c>
      <c r="T192" s="237">
        <f t="shared" si="130"/>
        <v>0</v>
      </c>
      <c r="U192" s="237">
        <f t="shared" si="130"/>
        <v>160000</v>
      </c>
      <c r="V192" s="214"/>
      <c r="W192" s="281"/>
    </row>
    <row r="193" spans="1:23" x14ac:dyDescent="0.25">
      <c r="A193" s="232"/>
      <c r="B193" s="215" t="s">
        <v>442</v>
      </c>
      <c r="C193" s="215" t="s">
        <v>359</v>
      </c>
      <c r="D193" s="214"/>
      <c r="E193" s="216" t="s">
        <v>67</v>
      </c>
      <c r="F193" s="236"/>
      <c r="G193" s="216"/>
      <c r="H193" s="216"/>
      <c r="I193" s="217">
        <f t="shared" si="130"/>
        <v>160000</v>
      </c>
      <c r="J193" s="217">
        <f t="shared" si="130"/>
        <v>0</v>
      </c>
      <c r="K193" s="217">
        <f t="shared" si="130"/>
        <v>160000</v>
      </c>
      <c r="L193" s="217"/>
      <c r="M193" s="217"/>
      <c r="N193" s="217">
        <f t="shared" si="130"/>
        <v>160000</v>
      </c>
      <c r="O193" s="217">
        <f t="shared" si="130"/>
        <v>0</v>
      </c>
      <c r="P193" s="217"/>
      <c r="Q193" s="217">
        <f t="shared" si="130"/>
        <v>0</v>
      </c>
      <c r="R193" s="217">
        <f t="shared" si="130"/>
        <v>0</v>
      </c>
      <c r="S193" s="217">
        <f t="shared" si="130"/>
        <v>0</v>
      </c>
      <c r="T193" s="217">
        <f t="shared" si="130"/>
        <v>0</v>
      </c>
      <c r="U193" s="217">
        <f t="shared" si="130"/>
        <v>160000</v>
      </c>
      <c r="V193" s="214"/>
      <c r="W193" s="281"/>
    </row>
    <row r="194" spans="1:23" x14ac:dyDescent="0.25">
      <c r="A194" s="234"/>
      <c r="B194" s="219" t="s">
        <v>442</v>
      </c>
      <c r="C194" s="219" t="s">
        <v>360</v>
      </c>
      <c r="D194" s="218"/>
      <c r="E194" s="220" t="s">
        <v>361</v>
      </c>
      <c r="F194" s="277"/>
      <c r="G194" s="220"/>
      <c r="H194" s="220"/>
      <c r="I194" s="221">
        <f>SUM(I195:I196)</f>
        <v>160000</v>
      </c>
      <c r="J194" s="221">
        <f>SUM(J195:J196)</f>
        <v>0</v>
      </c>
      <c r="K194" s="221">
        <f>SUM(K195:K196)</f>
        <v>160000</v>
      </c>
      <c r="L194" s="221"/>
      <c r="M194" s="221"/>
      <c r="N194" s="221">
        <f>SUM(N195:N196)</f>
        <v>160000</v>
      </c>
      <c r="O194" s="221">
        <f>SUM(O195:O196)</f>
        <v>0</v>
      </c>
      <c r="P194" s="221"/>
      <c r="Q194" s="221">
        <f t="shared" ref="Q194:U194" si="131">SUM(Q195:Q196)</f>
        <v>0</v>
      </c>
      <c r="R194" s="221">
        <f t="shared" si="131"/>
        <v>0</v>
      </c>
      <c r="S194" s="221">
        <f t="shared" si="131"/>
        <v>0</v>
      </c>
      <c r="T194" s="221">
        <f t="shared" si="131"/>
        <v>0</v>
      </c>
      <c r="U194" s="221">
        <f t="shared" si="131"/>
        <v>160000</v>
      </c>
      <c r="V194" s="218"/>
      <c r="W194" s="282"/>
    </row>
    <row r="195" spans="1:23" x14ac:dyDescent="0.25">
      <c r="A195" s="233"/>
      <c r="B195" s="223" t="s">
        <v>442</v>
      </c>
      <c r="C195" s="223" t="s">
        <v>362</v>
      </c>
      <c r="D195" s="222"/>
      <c r="E195" s="224" t="s">
        <v>363</v>
      </c>
      <c r="F195" s="258"/>
      <c r="G195" s="224"/>
      <c r="H195" s="224"/>
      <c r="I195" s="225">
        <v>60000</v>
      </c>
      <c r="J195" s="225">
        <v>0</v>
      </c>
      <c r="K195" s="225">
        <f>[1]Nov!I202</f>
        <v>60000</v>
      </c>
      <c r="L195" s="225"/>
      <c r="M195" s="225"/>
      <c r="N195" s="225">
        <f t="shared" ref="N195:N196" si="132">J195+K195</f>
        <v>60000</v>
      </c>
      <c r="O195" s="225">
        <f t="shared" ref="O195:O196" si="133">I195-N195</f>
        <v>0</v>
      </c>
      <c r="P195" s="225"/>
      <c r="Q195" s="225"/>
      <c r="R195" s="225"/>
      <c r="S195" s="225"/>
      <c r="T195" s="225"/>
      <c r="U195" s="225">
        <f>N195</f>
        <v>60000</v>
      </c>
      <c r="V195" s="222"/>
      <c r="W195" s="283"/>
    </row>
    <row r="196" spans="1:23" x14ac:dyDescent="0.25">
      <c r="A196" s="233"/>
      <c r="B196" s="223" t="s">
        <v>442</v>
      </c>
      <c r="C196" s="223" t="s">
        <v>366</v>
      </c>
      <c r="D196" s="222"/>
      <c r="E196" s="224" t="s">
        <v>367</v>
      </c>
      <c r="F196" s="258"/>
      <c r="G196" s="224"/>
      <c r="H196" s="224"/>
      <c r="I196" s="225">
        <v>100000</v>
      </c>
      <c r="J196" s="225">
        <v>0</v>
      </c>
      <c r="K196" s="225">
        <f>[1]Nov!I203</f>
        <v>100000</v>
      </c>
      <c r="L196" s="225"/>
      <c r="M196" s="225"/>
      <c r="N196" s="225">
        <f t="shared" si="132"/>
        <v>100000</v>
      </c>
      <c r="O196" s="225">
        <f t="shared" si="133"/>
        <v>0</v>
      </c>
      <c r="P196" s="225"/>
      <c r="Q196" s="225"/>
      <c r="R196" s="225"/>
      <c r="S196" s="225"/>
      <c r="T196" s="225"/>
      <c r="U196" s="225">
        <f>N196</f>
        <v>100000</v>
      </c>
      <c r="V196" s="222"/>
      <c r="W196" s="281"/>
    </row>
    <row r="197" spans="1:23" x14ac:dyDescent="0.25">
      <c r="A197" s="233"/>
      <c r="B197" s="223"/>
      <c r="C197" s="223"/>
      <c r="D197" s="222"/>
      <c r="E197" s="224"/>
      <c r="F197" s="258"/>
      <c r="G197" s="224"/>
      <c r="H197" s="224"/>
      <c r="I197" s="225"/>
      <c r="J197" s="225"/>
      <c r="K197" s="225"/>
      <c r="L197" s="225"/>
      <c r="M197" s="225"/>
      <c r="N197" s="225"/>
      <c r="O197" s="225"/>
      <c r="P197" s="225"/>
      <c r="Q197" s="225"/>
      <c r="R197" s="225"/>
      <c r="S197" s="225"/>
      <c r="T197" s="225"/>
      <c r="U197" s="225"/>
      <c r="V197" s="222"/>
      <c r="W197" s="282"/>
    </row>
    <row r="198" spans="1:23" ht="75" x14ac:dyDescent="0.25">
      <c r="A198" s="232"/>
      <c r="B198" s="215" t="s">
        <v>444</v>
      </c>
      <c r="C198" s="232"/>
      <c r="D198" s="214"/>
      <c r="E198" s="216" t="s">
        <v>445</v>
      </c>
      <c r="F198" s="236" t="s">
        <v>695</v>
      </c>
      <c r="G198" s="216"/>
      <c r="H198" s="216"/>
      <c r="I198" s="217">
        <f>I199+I202</f>
        <v>24500000</v>
      </c>
      <c r="J198" s="217">
        <f>J199+J202</f>
        <v>22471550</v>
      </c>
      <c r="K198" s="217">
        <f>K199+K202</f>
        <v>1250000</v>
      </c>
      <c r="L198" s="217"/>
      <c r="M198" s="217"/>
      <c r="N198" s="217">
        <f>N199+N202</f>
        <v>23721550</v>
      </c>
      <c r="O198" s="217">
        <f>O199+O202</f>
        <v>778450</v>
      </c>
      <c r="P198" s="217"/>
      <c r="Q198" s="217">
        <f t="shared" ref="Q198:U198" si="134">Q199+Q202</f>
        <v>0</v>
      </c>
      <c r="R198" s="217">
        <f t="shared" si="134"/>
        <v>21721550</v>
      </c>
      <c r="S198" s="217">
        <f t="shared" si="134"/>
        <v>0</v>
      </c>
      <c r="T198" s="217">
        <f t="shared" si="134"/>
        <v>0</v>
      </c>
      <c r="U198" s="217">
        <f t="shared" si="134"/>
        <v>2000000</v>
      </c>
      <c r="V198" s="214"/>
      <c r="W198" s="283"/>
    </row>
    <row r="199" spans="1:23" x14ac:dyDescent="0.25">
      <c r="A199" s="232"/>
      <c r="B199" s="215" t="s">
        <v>444</v>
      </c>
      <c r="C199" s="215" t="s">
        <v>359</v>
      </c>
      <c r="D199" s="214"/>
      <c r="E199" s="216" t="s">
        <v>67</v>
      </c>
      <c r="F199" s="236"/>
      <c r="G199" s="216"/>
      <c r="H199" s="216"/>
      <c r="I199" s="217">
        <f>I200</f>
        <v>2000000</v>
      </c>
      <c r="J199" s="217">
        <f>J200</f>
        <v>750000</v>
      </c>
      <c r="K199" s="217">
        <f>K200</f>
        <v>1250000</v>
      </c>
      <c r="L199" s="217"/>
      <c r="M199" s="217"/>
      <c r="N199" s="217">
        <f>N200</f>
        <v>2000000</v>
      </c>
      <c r="O199" s="217">
        <f>O200</f>
        <v>0</v>
      </c>
      <c r="P199" s="217"/>
      <c r="Q199" s="217">
        <f t="shared" ref="Q199:U199" si="135">Q200</f>
        <v>0</v>
      </c>
      <c r="R199" s="217">
        <f t="shared" si="135"/>
        <v>0</v>
      </c>
      <c r="S199" s="217">
        <f t="shared" si="135"/>
        <v>0</v>
      </c>
      <c r="T199" s="217">
        <f t="shared" si="135"/>
        <v>0</v>
      </c>
      <c r="U199" s="217">
        <f t="shared" si="135"/>
        <v>2000000</v>
      </c>
      <c r="V199" s="214"/>
      <c r="W199" s="283"/>
    </row>
    <row r="200" spans="1:23" x14ac:dyDescent="0.25">
      <c r="A200" s="234"/>
      <c r="B200" s="219" t="s">
        <v>444</v>
      </c>
      <c r="C200" s="219" t="s">
        <v>370</v>
      </c>
      <c r="D200" s="218"/>
      <c r="E200" s="220" t="s">
        <v>81</v>
      </c>
      <c r="F200" s="277"/>
      <c r="G200" s="220"/>
      <c r="H200" s="220"/>
      <c r="I200" s="221">
        <f>SUM(I201)</f>
        <v>2000000</v>
      </c>
      <c r="J200" s="221">
        <f>SUM(J201)</f>
        <v>750000</v>
      </c>
      <c r="K200" s="221">
        <f>SUM(K201)</f>
        <v>1250000</v>
      </c>
      <c r="L200" s="221"/>
      <c r="M200" s="221"/>
      <c r="N200" s="221">
        <f>SUM(N201)</f>
        <v>2000000</v>
      </c>
      <c r="O200" s="221">
        <f>SUM(O201)</f>
        <v>0</v>
      </c>
      <c r="P200" s="221"/>
      <c r="Q200" s="221">
        <f t="shared" ref="Q200:U200" si="136">SUM(Q201)</f>
        <v>0</v>
      </c>
      <c r="R200" s="221">
        <f t="shared" si="136"/>
        <v>0</v>
      </c>
      <c r="S200" s="221">
        <f t="shared" si="136"/>
        <v>0</v>
      </c>
      <c r="T200" s="221">
        <f t="shared" si="136"/>
        <v>0</v>
      </c>
      <c r="U200" s="221">
        <f t="shared" si="136"/>
        <v>2000000</v>
      </c>
      <c r="V200" s="218"/>
      <c r="W200" s="281"/>
    </row>
    <row r="201" spans="1:23" ht="30" x14ac:dyDescent="0.25">
      <c r="A201" s="233"/>
      <c r="B201" s="223" t="s">
        <v>444</v>
      </c>
      <c r="C201" s="223" t="s">
        <v>446</v>
      </c>
      <c r="D201" s="222"/>
      <c r="E201" s="258" t="s">
        <v>447</v>
      </c>
      <c r="F201" s="258"/>
      <c r="G201" s="224"/>
      <c r="H201" s="224"/>
      <c r="I201" s="225">
        <v>2000000</v>
      </c>
      <c r="J201" s="225">
        <v>750000</v>
      </c>
      <c r="K201" s="225">
        <f>[1]Nov!I208</f>
        <v>1250000</v>
      </c>
      <c r="L201" s="225"/>
      <c r="M201" s="225"/>
      <c r="N201" s="225">
        <f t="shared" ref="N201" si="137">J201+K201</f>
        <v>2000000</v>
      </c>
      <c r="O201" s="225">
        <f t="shared" ref="O201" si="138">I201-N201</f>
        <v>0</v>
      </c>
      <c r="P201" s="225"/>
      <c r="Q201" s="225"/>
      <c r="R201" s="225"/>
      <c r="S201" s="225"/>
      <c r="T201" s="225"/>
      <c r="U201" s="225">
        <f>N201</f>
        <v>2000000</v>
      </c>
      <c r="V201" s="222"/>
      <c r="W201" s="281"/>
    </row>
    <row r="202" spans="1:23" x14ac:dyDescent="0.25">
      <c r="A202" s="232"/>
      <c r="B202" s="215" t="s">
        <v>444</v>
      </c>
      <c r="C202" s="215" t="s">
        <v>404</v>
      </c>
      <c r="D202" s="214"/>
      <c r="E202" s="236" t="s">
        <v>68</v>
      </c>
      <c r="F202" s="236"/>
      <c r="G202" s="216"/>
      <c r="H202" s="216"/>
      <c r="I202" s="217">
        <f>I203</f>
        <v>22500000</v>
      </c>
      <c r="J202" s="217">
        <f>J203</f>
        <v>21721550</v>
      </c>
      <c r="K202" s="217">
        <f>K203</f>
        <v>0</v>
      </c>
      <c r="L202" s="217"/>
      <c r="M202" s="217"/>
      <c r="N202" s="217">
        <f>N203</f>
        <v>21721550</v>
      </c>
      <c r="O202" s="217">
        <f>O203</f>
        <v>778450</v>
      </c>
      <c r="P202" s="217"/>
      <c r="Q202" s="217">
        <f t="shared" ref="Q202:U202" si="139">Q203</f>
        <v>0</v>
      </c>
      <c r="R202" s="217">
        <f t="shared" si="139"/>
        <v>21721550</v>
      </c>
      <c r="S202" s="217">
        <f t="shared" si="139"/>
        <v>0</v>
      </c>
      <c r="T202" s="217">
        <f t="shared" si="139"/>
        <v>0</v>
      </c>
      <c r="U202" s="217">
        <f t="shared" si="139"/>
        <v>0</v>
      </c>
      <c r="V202" s="214"/>
      <c r="W202" s="282"/>
    </row>
    <row r="203" spans="1:23" x14ac:dyDescent="0.25">
      <c r="A203" s="234"/>
      <c r="B203" s="219" t="s">
        <v>444</v>
      </c>
      <c r="C203" s="219" t="s">
        <v>448</v>
      </c>
      <c r="D203" s="218"/>
      <c r="E203" s="277" t="s">
        <v>89</v>
      </c>
      <c r="F203" s="277"/>
      <c r="G203" s="220"/>
      <c r="H203" s="220"/>
      <c r="I203" s="221">
        <f>SUM(I204)</f>
        <v>22500000</v>
      </c>
      <c r="J203" s="221">
        <f>SUM(J204)</f>
        <v>21721550</v>
      </c>
      <c r="K203" s="221">
        <f>SUM(K204)</f>
        <v>0</v>
      </c>
      <c r="L203" s="221"/>
      <c r="M203" s="221"/>
      <c r="N203" s="221">
        <f>SUM(N204)</f>
        <v>21721550</v>
      </c>
      <c r="O203" s="221">
        <f>SUM(O204)</f>
        <v>778450</v>
      </c>
      <c r="P203" s="221"/>
      <c r="Q203" s="221">
        <f t="shared" ref="Q203:U203" si="140">SUM(Q204)</f>
        <v>0</v>
      </c>
      <c r="R203" s="221">
        <f t="shared" si="140"/>
        <v>21721550</v>
      </c>
      <c r="S203" s="221">
        <f t="shared" si="140"/>
        <v>0</v>
      </c>
      <c r="T203" s="221">
        <f t="shared" si="140"/>
        <v>0</v>
      </c>
      <c r="U203" s="221">
        <f t="shared" si="140"/>
        <v>0</v>
      </c>
      <c r="V203" s="218"/>
      <c r="W203" s="283"/>
    </row>
    <row r="204" spans="1:23" ht="30" x14ac:dyDescent="0.25">
      <c r="A204" s="233"/>
      <c r="B204" s="223" t="s">
        <v>444</v>
      </c>
      <c r="C204" s="223" t="s">
        <v>449</v>
      </c>
      <c r="D204" s="222"/>
      <c r="E204" s="258" t="s">
        <v>450</v>
      </c>
      <c r="F204" s="258"/>
      <c r="G204" s="224"/>
      <c r="H204" s="224"/>
      <c r="I204" s="225">
        <v>22500000</v>
      </c>
      <c r="J204" s="225">
        <f>22500000-778450</f>
        <v>21721550</v>
      </c>
      <c r="K204" s="225">
        <f>[1]Nov!I211</f>
        <v>0</v>
      </c>
      <c r="L204" s="225"/>
      <c r="M204" s="225"/>
      <c r="N204" s="225">
        <f t="shared" ref="N204" si="141">J204+K204</f>
        <v>21721550</v>
      </c>
      <c r="O204" s="225">
        <f t="shared" ref="O204" si="142">I204-N204</f>
        <v>778450</v>
      </c>
      <c r="P204" s="225"/>
      <c r="Q204" s="225"/>
      <c r="R204" s="225">
        <f>N204</f>
        <v>21721550</v>
      </c>
      <c r="S204" s="225"/>
      <c r="T204" s="225"/>
      <c r="U204" s="225"/>
      <c r="V204" s="222"/>
      <c r="W204" s="283"/>
    </row>
    <row r="205" spans="1:23" x14ac:dyDescent="0.25">
      <c r="A205" s="233"/>
      <c r="B205" s="223"/>
      <c r="C205" s="223"/>
      <c r="D205" s="222"/>
      <c r="E205" s="258"/>
      <c r="F205" s="258"/>
      <c r="G205" s="224"/>
      <c r="H205" s="224"/>
      <c r="I205" s="225"/>
      <c r="J205" s="225"/>
      <c r="K205" s="225"/>
      <c r="L205" s="225"/>
      <c r="M205" s="225"/>
      <c r="N205" s="225"/>
      <c r="O205" s="225"/>
      <c r="P205" s="225"/>
      <c r="Q205" s="225"/>
      <c r="R205" s="225"/>
      <c r="S205" s="225"/>
      <c r="T205" s="225"/>
      <c r="U205" s="225"/>
      <c r="V205" s="222"/>
      <c r="W205" s="283"/>
    </row>
    <row r="206" spans="1:23" ht="45" x14ac:dyDescent="0.25">
      <c r="A206" s="232"/>
      <c r="B206" s="215" t="s">
        <v>451</v>
      </c>
      <c r="C206" s="232"/>
      <c r="D206" s="214"/>
      <c r="E206" s="236" t="s">
        <v>452</v>
      </c>
      <c r="F206" s="236" t="s">
        <v>696</v>
      </c>
      <c r="G206" s="216"/>
      <c r="H206" s="216"/>
      <c r="I206" s="217">
        <f t="shared" ref="I206:U207" si="143">I207</f>
        <v>1955000</v>
      </c>
      <c r="J206" s="217">
        <f t="shared" si="143"/>
        <v>551500</v>
      </c>
      <c r="K206" s="217">
        <f t="shared" si="143"/>
        <v>1403500</v>
      </c>
      <c r="L206" s="217"/>
      <c r="M206" s="217"/>
      <c r="N206" s="217">
        <f t="shared" si="143"/>
        <v>1955000</v>
      </c>
      <c r="O206" s="217">
        <f t="shared" si="143"/>
        <v>0</v>
      </c>
      <c r="P206" s="217"/>
      <c r="Q206" s="217">
        <f t="shared" si="143"/>
        <v>0</v>
      </c>
      <c r="R206" s="217">
        <f t="shared" si="143"/>
        <v>0</v>
      </c>
      <c r="S206" s="217">
        <f t="shared" si="143"/>
        <v>0</v>
      </c>
      <c r="T206" s="217">
        <f t="shared" si="143"/>
        <v>0</v>
      </c>
      <c r="U206" s="217">
        <f t="shared" si="143"/>
        <v>1955000</v>
      </c>
      <c r="V206" s="214"/>
      <c r="W206" s="281"/>
    </row>
    <row r="207" spans="1:23" x14ac:dyDescent="0.25">
      <c r="A207" s="232"/>
      <c r="B207" s="215" t="s">
        <v>451</v>
      </c>
      <c r="C207" s="215" t="s">
        <v>359</v>
      </c>
      <c r="D207" s="214"/>
      <c r="E207" s="216" t="s">
        <v>67</v>
      </c>
      <c r="F207" s="236"/>
      <c r="G207" s="216"/>
      <c r="H207" s="216"/>
      <c r="I207" s="217">
        <f t="shared" si="143"/>
        <v>1955000</v>
      </c>
      <c r="J207" s="217">
        <f t="shared" si="143"/>
        <v>551500</v>
      </c>
      <c r="K207" s="217">
        <f t="shared" si="143"/>
        <v>1403500</v>
      </c>
      <c r="L207" s="217"/>
      <c r="M207" s="217"/>
      <c r="N207" s="217">
        <f t="shared" si="143"/>
        <v>1955000</v>
      </c>
      <c r="O207" s="217">
        <f t="shared" si="143"/>
        <v>0</v>
      </c>
      <c r="P207" s="217"/>
      <c r="Q207" s="217">
        <f t="shared" si="143"/>
        <v>0</v>
      </c>
      <c r="R207" s="217">
        <f t="shared" si="143"/>
        <v>0</v>
      </c>
      <c r="S207" s="217">
        <f t="shared" si="143"/>
        <v>0</v>
      </c>
      <c r="T207" s="217">
        <f t="shared" si="143"/>
        <v>0</v>
      </c>
      <c r="U207" s="217">
        <f t="shared" si="143"/>
        <v>1955000</v>
      </c>
      <c r="V207" s="214"/>
      <c r="W207" s="281"/>
    </row>
    <row r="208" spans="1:23" x14ac:dyDescent="0.25">
      <c r="A208" s="234"/>
      <c r="B208" s="219" t="s">
        <v>451</v>
      </c>
      <c r="C208" s="219" t="s">
        <v>360</v>
      </c>
      <c r="D208" s="218"/>
      <c r="E208" s="220" t="s">
        <v>361</v>
      </c>
      <c r="F208" s="277"/>
      <c r="G208" s="220"/>
      <c r="H208" s="220"/>
      <c r="I208" s="221">
        <f>SUM(I209:I210)</f>
        <v>1955000</v>
      </c>
      <c r="J208" s="221">
        <f>SUM(J209:J210)</f>
        <v>551500</v>
      </c>
      <c r="K208" s="221">
        <f>SUM(K209:K210)</f>
        <v>1403500</v>
      </c>
      <c r="L208" s="221"/>
      <c r="M208" s="221"/>
      <c r="N208" s="221">
        <f>SUM(N209:N210)</f>
        <v>1955000</v>
      </c>
      <c r="O208" s="221">
        <f>SUM(O209:O210)</f>
        <v>0</v>
      </c>
      <c r="P208" s="221"/>
      <c r="Q208" s="221">
        <f t="shared" ref="Q208:U208" si="144">SUM(Q209:Q210)</f>
        <v>0</v>
      </c>
      <c r="R208" s="221">
        <f t="shared" si="144"/>
        <v>0</v>
      </c>
      <c r="S208" s="221">
        <f t="shared" si="144"/>
        <v>0</v>
      </c>
      <c r="T208" s="221">
        <f t="shared" si="144"/>
        <v>0</v>
      </c>
      <c r="U208" s="221">
        <f t="shared" si="144"/>
        <v>1955000</v>
      </c>
      <c r="V208" s="218"/>
      <c r="W208" s="282"/>
    </row>
    <row r="209" spans="1:23" x14ac:dyDescent="0.25">
      <c r="A209" s="233"/>
      <c r="B209" s="223" t="s">
        <v>451</v>
      </c>
      <c r="C209" s="223" t="s">
        <v>362</v>
      </c>
      <c r="D209" s="222"/>
      <c r="E209" s="224" t="s">
        <v>363</v>
      </c>
      <c r="F209" s="258"/>
      <c r="G209" s="224"/>
      <c r="H209" s="224"/>
      <c r="I209" s="225">
        <v>660000</v>
      </c>
      <c r="J209" s="225">
        <v>180000</v>
      </c>
      <c r="K209" s="225">
        <f>[1]Nov!I216</f>
        <v>480000</v>
      </c>
      <c r="L209" s="225"/>
      <c r="M209" s="225"/>
      <c r="N209" s="225">
        <f t="shared" ref="N209:N210" si="145">J209+K209</f>
        <v>660000</v>
      </c>
      <c r="O209" s="225">
        <f t="shared" ref="O209:O210" si="146">I209-N209</f>
        <v>0</v>
      </c>
      <c r="P209" s="225"/>
      <c r="Q209" s="225"/>
      <c r="R209" s="225"/>
      <c r="S209" s="225"/>
      <c r="T209" s="225"/>
      <c r="U209" s="225">
        <f>N209</f>
        <v>660000</v>
      </c>
      <c r="V209" s="222"/>
      <c r="W209" s="283"/>
    </row>
    <row r="210" spans="1:23" x14ac:dyDescent="0.25">
      <c r="A210" s="233"/>
      <c r="B210" s="223" t="s">
        <v>451</v>
      </c>
      <c r="C210" s="223" t="s">
        <v>366</v>
      </c>
      <c r="D210" s="222"/>
      <c r="E210" s="224" t="s">
        <v>367</v>
      </c>
      <c r="F210" s="258"/>
      <c r="G210" s="224"/>
      <c r="H210" s="224"/>
      <c r="I210" s="225">
        <v>1295000</v>
      </c>
      <c r="J210" s="225">
        <v>371500</v>
      </c>
      <c r="K210" s="225">
        <f>[1]Nov!I217</f>
        <v>923500</v>
      </c>
      <c r="L210" s="225"/>
      <c r="M210" s="225"/>
      <c r="N210" s="225">
        <f t="shared" si="145"/>
        <v>1295000</v>
      </c>
      <c r="O210" s="225">
        <f t="shared" si="146"/>
        <v>0</v>
      </c>
      <c r="P210" s="225"/>
      <c r="Q210" s="225"/>
      <c r="R210" s="225"/>
      <c r="S210" s="225"/>
      <c r="T210" s="225"/>
      <c r="U210" s="225">
        <f>N210</f>
        <v>1295000</v>
      </c>
      <c r="V210" s="222"/>
      <c r="W210" s="283"/>
    </row>
    <row r="211" spans="1:23" x14ac:dyDescent="0.25">
      <c r="A211" s="233"/>
      <c r="B211" s="223"/>
      <c r="C211" s="223"/>
      <c r="D211" s="222"/>
      <c r="E211" s="224"/>
      <c r="F211" s="258"/>
      <c r="G211" s="224"/>
      <c r="H211" s="224"/>
      <c r="I211" s="225"/>
      <c r="J211" s="225"/>
      <c r="K211" s="225"/>
      <c r="L211" s="225"/>
      <c r="M211" s="225"/>
      <c r="N211" s="225"/>
      <c r="O211" s="225"/>
      <c r="P211" s="225"/>
      <c r="Q211" s="225"/>
      <c r="R211" s="225"/>
      <c r="S211" s="225"/>
      <c r="T211" s="225"/>
      <c r="U211" s="225"/>
      <c r="V211" s="222"/>
      <c r="W211" s="283"/>
    </row>
    <row r="212" spans="1:23" ht="60" x14ac:dyDescent="0.25">
      <c r="A212" s="232"/>
      <c r="B212" s="215" t="s">
        <v>453</v>
      </c>
      <c r="C212" s="232"/>
      <c r="D212" s="214"/>
      <c r="E212" s="216" t="s">
        <v>454</v>
      </c>
      <c r="F212" s="236" t="s">
        <v>697</v>
      </c>
      <c r="G212" s="216"/>
      <c r="H212" s="216"/>
      <c r="I212" s="217">
        <f>I213</f>
        <v>485000</v>
      </c>
      <c r="J212" s="217">
        <f>J213</f>
        <v>0</v>
      </c>
      <c r="K212" s="217">
        <f>K213</f>
        <v>485000</v>
      </c>
      <c r="L212" s="217"/>
      <c r="M212" s="217"/>
      <c r="N212" s="217">
        <f>N213</f>
        <v>485000</v>
      </c>
      <c r="O212" s="217">
        <f>O213</f>
        <v>0</v>
      </c>
      <c r="P212" s="217"/>
      <c r="Q212" s="217">
        <f t="shared" ref="Q212:U212" si="147">Q213</f>
        <v>0</v>
      </c>
      <c r="R212" s="217">
        <f t="shared" si="147"/>
        <v>0</v>
      </c>
      <c r="S212" s="217">
        <f t="shared" si="147"/>
        <v>0</v>
      </c>
      <c r="T212" s="217">
        <f t="shared" si="147"/>
        <v>0</v>
      </c>
      <c r="U212" s="217">
        <f t="shared" si="147"/>
        <v>485000</v>
      </c>
      <c r="V212" s="214"/>
      <c r="W212" s="282"/>
    </row>
    <row r="213" spans="1:23" x14ac:dyDescent="0.25">
      <c r="A213" s="232"/>
      <c r="B213" s="215" t="s">
        <v>453</v>
      </c>
      <c r="C213" s="215" t="s">
        <v>359</v>
      </c>
      <c r="D213" s="214"/>
      <c r="E213" s="216" t="s">
        <v>67</v>
      </c>
      <c r="F213" s="236"/>
      <c r="G213" s="216"/>
      <c r="H213" s="216"/>
      <c r="I213" s="217">
        <f>I214+I218+I221</f>
        <v>485000</v>
      </c>
      <c r="J213" s="217">
        <f>J214+J218+J221</f>
        <v>0</v>
      </c>
      <c r="K213" s="217">
        <f>K214+K218+K221</f>
        <v>485000</v>
      </c>
      <c r="L213" s="217"/>
      <c r="M213" s="217"/>
      <c r="N213" s="217">
        <f>N214+N218+N221</f>
        <v>485000</v>
      </c>
      <c r="O213" s="217">
        <f>O214+O218+O221</f>
        <v>0</v>
      </c>
      <c r="P213" s="217"/>
      <c r="Q213" s="217">
        <f t="shared" ref="Q213:U213" si="148">Q214+Q218+Q221</f>
        <v>0</v>
      </c>
      <c r="R213" s="217">
        <f t="shared" si="148"/>
        <v>0</v>
      </c>
      <c r="S213" s="217">
        <f t="shared" si="148"/>
        <v>0</v>
      </c>
      <c r="T213" s="217">
        <f t="shared" si="148"/>
        <v>0</v>
      </c>
      <c r="U213" s="217">
        <f t="shared" si="148"/>
        <v>485000</v>
      </c>
      <c r="V213" s="214"/>
      <c r="W213" s="283"/>
    </row>
    <row r="214" spans="1:23" x14ac:dyDescent="0.25">
      <c r="A214" s="234"/>
      <c r="B214" s="219" t="s">
        <v>453</v>
      </c>
      <c r="C214" s="219" t="s">
        <v>360</v>
      </c>
      <c r="D214" s="218"/>
      <c r="E214" s="220" t="s">
        <v>361</v>
      </c>
      <c r="F214" s="277"/>
      <c r="G214" s="220"/>
      <c r="H214" s="220"/>
      <c r="I214" s="221">
        <f>SUM(I215:I217)</f>
        <v>485000</v>
      </c>
      <c r="J214" s="221">
        <f>SUM(J215:J217)</f>
        <v>0</v>
      </c>
      <c r="K214" s="221">
        <f>SUM(K215:K217)</f>
        <v>485000</v>
      </c>
      <c r="L214" s="221"/>
      <c r="M214" s="221"/>
      <c r="N214" s="221">
        <f>SUM(N215:N217)</f>
        <v>485000</v>
      </c>
      <c r="O214" s="221">
        <f>SUM(O215:O217)</f>
        <v>0</v>
      </c>
      <c r="P214" s="221"/>
      <c r="Q214" s="221">
        <f t="shared" ref="Q214:U214" si="149">SUM(Q215:Q217)</f>
        <v>0</v>
      </c>
      <c r="R214" s="221">
        <f t="shared" si="149"/>
        <v>0</v>
      </c>
      <c r="S214" s="221">
        <f t="shared" si="149"/>
        <v>0</v>
      </c>
      <c r="T214" s="221">
        <f t="shared" si="149"/>
        <v>0</v>
      </c>
      <c r="U214" s="221">
        <f t="shared" si="149"/>
        <v>485000</v>
      </c>
      <c r="V214" s="218"/>
      <c r="W214" s="283"/>
    </row>
    <row r="215" spans="1:23" ht="30" x14ac:dyDescent="0.25">
      <c r="A215" s="233"/>
      <c r="B215" s="223" t="s">
        <v>453</v>
      </c>
      <c r="C215" s="223" t="s">
        <v>362</v>
      </c>
      <c r="D215" s="222"/>
      <c r="E215" s="258" t="s">
        <v>363</v>
      </c>
      <c r="F215" s="258"/>
      <c r="G215" s="224"/>
      <c r="H215" s="224"/>
      <c r="I215" s="225">
        <v>185000</v>
      </c>
      <c r="J215" s="225">
        <v>0</v>
      </c>
      <c r="K215" s="225">
        <f>[1]Nov!I224</f>
        <v>185000</v>
      </c>
      <c r="L215" s="225"/>
      <c r="M215" s="225"/>
      <c r="N215" s="225">
        <f t="shared" ref="N215:N217" si="150">J215+K215</f>
        <v>185000</v>
      </c>
      <c r="O215" s="225">
        <f t="shared" ref="O215:O217" si="151">I215-N215</f>
        <v>0</v>
      </c>
      <c r="P215" s="225"/>
      <c r="Q215" s="225"/>
      <c r="R215" s="225"/>
      <c r="S215" s="225"/>
      <c r="T215" s="225"/>
      <c r="U215" s="225">
        <f>N215</f>
        <v>185000</v>
      </c>
      <c r="V215" s="222"/>
      <c r="W215" s="282"/>
    </row>
    <row r="216" spans="1:23" ht="30" x14ac:dyDescent="0.25">
      <c r="A216" s="233"/>
      <c r="B216" s="223" t="s">
        <v>453</v>
      </c>
      <c r="C216" s="223" t="s">
        <v>366</v>
      </c>
      <c r="D216" s="222"/>
      <c r="E216" s="258" t="s">
        <v>367</v>
      </c>
      <c r="F216" s="258"/>
      <c r="G216" s="224"/>
      <c r="H216" s="224"/>
      <c r="I216" s="225">
        <v>0</v>
      </c>
      <c r="J216" s="225">
        <v>0</v>
      </c>
      <c r="K216" s="225">
        <f>[1]Nov!I225</f>
        <v>0</v>
      </c>
      <c r="L216" s="225"/>
      <c r="M216" s="225"/>
      <c r="N216" s="225">
        <f t="shared" si="150"/>
        <v>0</v>
      </c>
      <c r="O216" s="225">
        <f t="shared" si="151"/>
        <v>0</v>
      </c>
      <c r="P216" s="225"/>
      <c r="Q216" s="225"/>
      <c r="R216" s="225"/>
      <c r="S216" s="225"/>
      <c r="T216" s="225"/>
      <c r="U216" s="225">
        <f t="shared" ref="U216:U222" si="152">N216</f>
        <v>0</v>
      </c>
      <c r="V216" s="222"/>
      <c r="W216" s="283"/>
    </row>
    <row r="217" spans="1:23" ht="30" x14ac:dyDescent="0.25">
      <c r="A217" s="243"/>
      <c r="B217" s="244" t="s">
        <v>453</v>
      </c>
      <c r="C217" s="244" t="s">
        <v>368</v>
      </c>
      <c r="D217" s="245"/>
      <c r="E217" s="295" t="s">
        <v>369</v>
      </c>
      <c r="F217" s="295"/>
      <c r="G217" s="246"/>
      <c r="H217" s="246"/>
      <c r="I217" s="247">
        <v>300000</v>
      </c>
      <c r="J217" s="247">
        <v>0</v>
      </c>
      <c r="K217" s="225">
        <f>[1]Nov!I226</f>
        <v>300000</v>
      </c>
      <c r="L217" s="247"/>
      <c r="M217" s="247"/>
      <c r="N217" s="247">
        <f t="shared" si="150"/>
        <v>300000</v>
      </c>
      <c r="O217" s="247">
        <f t="shared" si="151"/>
        <v>0</v>
      </c>
      <c r="P217" s="247"/>
      <c r="Q217" s="247"/>
      <c r="R217" s="247"/>
      <c r="S217" s="247"/>
      <c r="T217" s="247"/>
      <c r="U217" s="225">
        <f t="shared" si="152"/>
        <v>300000</v>
      </c>
      <c r="V217" s="245"/>
      <c r="W217" s="283"/>
    </row>
    <row r="218" spans="1:23" x14ac:dyDescent="0.25">
      <c r="A218" s="234"/>
      <c r="B218" s="219" t="s">
        <v>453</v>
      </c>
      <c r="C218" s="219" t="s">
        <v>370</v>
      </c>
      <c r="D218" s="218"/>
      <c r="E218" s="277" t="s">
        <v>81</v>
      </c>
      <c r="F218" s="277"/>
      <c r="G218" s="220"/>
      <c r="H218" s="220"/>
      <c r="I218" s="221">
        <f>SUM(I219:I220)</f>
        <v>0</v>
      </c>
      <c r="J218" s="221">
        <f>SUM(J219:J220)</f>
        <v>0</v>
      </c>
      <c r="K218" s="221">
        <f>SUM(K219:K220)</f>
        <v>0</v>
      </c>
      <c r="L218" s="221"/>
      <c r="M218" s="221"/>
      <c r="N218" s="221">
        <f>SUM(N219:N220)</f>
        <v>0</v>
      </c>
      <c r="O218" s="221">
        <f>SUM(O219:O220)</f>
        <v>0</v>
      </c>
      <c r="P218" s="221"/>
      <c r="Q218" s="221"/>
      <c r="R218" s="221"/>
      <c r="S218" s="221"/>
      <c r="T218" s="221"/>
      <c r="U218" s="225">
        <f t="shared" si="152"/>
        <v>0</v>
      </c>
      <c r="V218" s="218"/>
      <c r="W218" s="283"/>
    </row>
    <row r="219" spans="1:23" ht="30" x14ac:dyDescent="0.25">
      <c r="A219" s="233"/>
      <c r="B219" s="223" t="s">
        <v>453</v>
      </c>
      <c r="C219" s="223" t="s">
        <v>436</v>
      </c>
      <c r="D219" s="222"/>
      <c r="E219" s="258" t="s">
        <v>437</v>
      </c>
      <c r="F219" s="258"/>
      <c r="G219" s="224"/>
      <c r="H219" s="224"/>
      <c r="I219" s="225">
        <v>0</v>
      </c>
      <c r="J219" s="225">
        <v>0</v>
      </c>
      <c r="K219" s="225">
        <f>[1]Nov!I228</f>
        <v>0</v>
      </c>
      <c r="L219" s="225"/>
      <c r="M219" s="225"/>
      <c r="N219" s="225">
        <f t="shared" ref="N219:N220" si="153">J219+K219</f>
        <v>0</v>
      </c>
      <c r="O219" s="225">
        <f t="shared" ref="O219:O220" si="154">I219-N219</f>
        <v>0</v>
      </c>
      <c r="P219" s="225"/>
      <c r="Q219" s="225"/>
      <c r="R219" s="225"/>
      <c r="S219" s="225"/>
      <c r="T219" s="225"/>
      <c r="U219" s="225">
        <f t="shared" si="152"/>
        <v>0</v>
      </c>
      <c r="V219" s="222"/>
      <c r="W219" s="283"/>
    </row>
    <row r="220" spans="1:23" x14ac:dyDescent="0.25">
      <c r="A220" s="233"/>
      <c r="B220" s="223" t="s">
        <v>453</v>
      </c>
      <c r="C220" s="223" t="s">
        <v>422</v>
      </c>
      <c r="D220" s="222"/>
      <c r="E220" s="224" t="s">
        <v>423</v>
      </c>
      <c r="F220" s="258"/>
      <c r="G220" s="224"/>
      <c r="H220" s="224"/>
      <c r="I220" s="225">
        <v>0</v>
      </c>
      <c r="J220" s="225">
        <v>0</v>
      </c>
      <c r="K220" s="225">
        <f>[1]Nov!I229</f>
        <v>0</v>
      </c>
      <c r="L220" s="225"/>
      <c r="M220" s="225"/>
      <c r="N220" s="225">
        <f t="shared" si="153"/>
        <v>0</v>
      </c>
      <c r="O220" s="225">
        <f t="shared" si="154"/>
        <v>0</v>
      </c>
      <c r="P220" s="225"/>
      <c r="Q220" s="225"/>
      <c r="R220" s="225"/>
      <c r="S220" s="225"/>
      <c r="T220" s="225"/>
      <c r="U220" s="225">
        <f t="shared" si="152"/>
        <v>0</v>
      </c>
      <c r="V220" s="222"/>
      <c r="W220" s="281"/>
    </row>
    <row r="221" spans="1:23" x14ac:dyDescent="0.25">
      <c r="A221" s="234"/>
      <c r="B221" s="219" t="s">
        <v>453</v>
      </c>
      <c r="C221" s="219" t="s">
        <v>455</v>
      </c>
      <c r="D221" s="218"/>
      <c r="E221" s="220" t="s">
        <v>83</v>
      </c>
      <c r="F221" s="277"/>
      <c r="G221" s="220"/>
      <c r="H221" s="220"/>
      <c r="I221" s="221">
        <f>SUM(I222)</f>
        <v>0</v>
      </c>
      <c r="J221" s="221">
        <f>SUM(J222)</f>
        <v>0</v>
      </c>
      <c r="K221" s="221">
        <f>SUM(K222)</f>
        <v>0</v>
      </c>
      <c r="L221" s="221"/>
      <c r="M221" s="221"/>
      <c r="N221" s="221">
        <f>SUM(N222)</f>
        <v>0</v>
      </c>
      <c r="O221" s="221">
        <f>SUM(O222)</f>
        <v>0</v>
      </c>
      <c r="P221" s="221"/>
      <c r="Q221" s="221"/>
      <c r="R221" s="221"/>
      <c r="S221" s="221"/>
      <c r="T221" s="221"/>
      <c r="U221" s="225">
        <f t="shared" si="152"/>
        <v>0</v>
      </c>
      <c r="V221" s="218"/>
      <c r="W221" s="281"/>
    </row>
    <row r="222" spans="1:23" x14ac:dyDescent="0.25">
      <c r="A222" s="233"/>
      <c r="B222" s="223" t="s">
        <v>453</v>
      </c>
      <c r="C222" s="223" t="s">
        <v>456</v>
      </c>
      <c r="D222" s="222"/>
      <c r="E222" s="224" t="s">
        <v>457</v>
      </c>
      <c r="F222" s="258"/>
      <c r="G222" s="224"/>
      <c r="H222" s="224"/>
      <c r="I222" s="225">
        <v>0</v>
      </c>
      <c r="J222" s="225">
        <v>0</v>
      </c>
      <c r="K222" s="225">
        <f>[1]Nov!I231</f>
        <v>0</v>
      </c>
      <c r="L222" s="225"/>
      <c r="M222" s="225"/>
      <c r="N222" s="225">
        <f t="shared" ref="N222" si="155">J222+K222</f>
        <v>0</v>
      </c>
      <c r="O222" s="225">
        <f t="shared" ref="O222" si="156">I222-N222</f>
        <v>0</v>
      </c>
      <c r="P222" s="225"/>
      <c r="Q222" s="225"/>
      <c r="R222" s="225"/>
      <c r="S222" s="225"/>
      <c r="T222" s="225"/>
      <c r="U222" s="225">
        <f t="shared" si="152"/>
        <v>0</v>
      </c>
      <c r="V222" s="222"/>
      <c r="W222" s="281"/>
    </row>
    <row r="223" spans="1:23" x14ac:dyDescent="0.25">
      <c r="A223" s="233"/>
      <c r="B223" s="223"/>
      <c r="C223" s="223"/>
      <c r="D223" s="222"/>
      <c r="E223" s="224"/>
      <c r="F223" s="258"/>
      <c r="G223" s="224"/>
      <c r="H223" s="224"/>
      <c r="I223" s="225"/>
      <c r="J223" s="225"/>
      <c r="K223" s="225"/>
      <c r="L223" s="225"/>
      <c r="M223" s="225"/>
      <c r="N223" s="225"/>
      <c r="O223" s="225"/>
      <c r="P223" s="225"/>
      <c r="Q223" s="225"/>
      <c r="R223" s="225"/>
      <c r="S223" s="225"/>
      <c r="T223" s="225"/>
      <c r="U223" s="225"/>
      <c r="V223" s="222"/>
      <c r="W223" s="282"/>
    </row>
    <row r="224" spans="1:23" ht="45" x14ac:dyDescent="0.25">
      <c r="A224" s="232"/>
      <c r="B224" s="215" t="s">
        <v>458</v>
      </c>
      <c r="C224" s="232"/>
      <c r="D224" s="214"/>
      <c r="E224" s="236" t="s">
        <v>459</v>
      </c>
      <c r="F224" s="236" t="s">
        <v>698</v>
      </c>
      <c r="G224" s="216"/>
      <c r="H224" s="216"/>
      <c r="I224" s="217">
        <f t="shared" ref="I224:U225" si="157">I225</f>
        <v>27636000</v>
      </c>
      <c r="J224" s="217">
        <f t="shared" si="157"/>
        <v>6820000</v>
      </c>
      <c r="K224" s="217">
        <f t="shared" si="157"/>
        <v>20816000</v>
      </c>
      <c r="L224" s="217"/>
      <c r="M224" s="217"/>
      <c r="N224" s="217">
        <f t="shared" si="157"/>
        <v>27636000</v>
      </c>
      <c r="O224" s="217">
        <f t="shared" si="157"/>
        <v>0</v>
      </c>
      <c r="P224" s="217"/>
      <c r="Q224" s="217">
        <f t="shared" si="157"/>
        <v>0</v>
      </c>
      <c r="R224" s="217">
        <f t="shared" si="157"/>
        <v>27636000</v>
      </c>
      <c r="S224" s="217">
        <f t="shared" si="157"/>
        <v>0</v>
      </c>
      <c r="T224" s="217">
        <f t="shared" si="157"/>
        <v>0</v>
      </c>
      <c r="U224" s="217">
        <f t="shared" si="157"/>
        <v>0</v>
      </c>
      <c r="V224" s="214"/>
      <c r="W224" s="283"/>
    </row>
    <row r="225" spans="1:23" x14ac:dyDescent="0.25">
      <c r="A225" s="232"/>
      <c r="B225" s="215" t="s">
        <v>458</v>
      </c>
      <c r="C225" s="215" t="s">
        <v>359</v>
      </c>
      <c r="D225" s="214"/>
      <c r="E225" s="236" t="s">
        <v>67</v>
      </c>
      <c r="F225" s="236"/>
      <c r="G225" s="216"/>
      <c r="H225" s="216"/>
      <c r="I225" s="217">
        <f t="shared" si="157"/>
        <v>27636000</v>
      </c>
      <c r="J225" s="217">
        <f t="shared" si="157"/>
        <v>6820000</v>
      </c>
      <c r="K225" s="217">
        <f t="shared" si="157"/>
        <v>20816000</v>
      </c>
      <c r="L225" s="217"/>
      <c r="M225" s="217"/>
      <c r="N225" s="217">
        <f t="shared" si="157"/>
        <v>27636000</v>
      </c>
      <c r="O225" s="217">
        <f t="shared" si="157"/>
        <v>0</v>
      </c>
      <c r="P225" s="217"/>
      <c r="Q225" s="217">
        <f t="shared" si="157"/>
        <v>0</v>
      </c>
      <c r="R225" s="217">
        <f t="shared" si="157"/>
        <v>27636000</v>
      </c>
      <c r="S225" s="217">
        <f t="shared" si="157"/>
        <v>0</v>
      </c>
      <c r="T225" s="217">
        <f t="shared" si="157"/>
        <v>0</v>
      </c>
      <c r="U225" s="217">
        <f t="shared" si="157"/>
        <v>0</v>
      </c>
      <c r="V225" s="214"/>
      <c r="W225" s="283"/>
    </row>
    <row r="226" spans="1:23" ht="28.5" x14ac:dyDescent="0.25">
      <c r="A226" s="234"/>
      <c r="B226" s="219" t="s">
        <v>458</v>
      </c>
      <c r="C226" s="219" t="s">
        <v>460</v>
      </c>
      <c r="D226" s="218"/>
      <c r="E226" s="277" t="s">
        <v>461</v>
      </c>
      <c r="F226" s="277"/>
      <c r="G226" s="220"/>
      <c r="H226" s="220"/>
      <c r="I226" s="221">
        <f>SUM(I227)</f>
        <v>27636000</v>
      </c>
      <c r="J226" s="221">
        <f>SUM(J227)</f>
        <v>6820000</v>
      </c>
      <c r="K226" s="221">
        <f>SUM(K227)</f>
        <v>20816000</v>
      </c>
      <c r="L226" s="221"/>
      <c r="M226" s="221"/>
      <c r="N226" s="221">
        <f>SUM(N227)</f>
        <v>27636000</v>
      </c>
      <c r="O226" s="221">
        <f>SUM(O227)</f>
        <v>0</v>
      </c>
      <c r="P226" s="221"/>
      <c r="Q226" s="221">
        <f t="shared" ref="Q226:U226" si="158">SUM(Q227)</f>
        <v>0</v>
      </c>
      <c r="R226" s="221">
        <f t="shared" si="158"/>
        <v>27636000</v>
      </c>
      <c r="S226" s="221">
        <f t="shared" si="158"/>
        <v>0</v>
      </c>
      <c r="T226" s="221">
        <f t="shared" si="158"/>
        <v>0</v>
      </c>
      <c r="U226" s="221">
        <f t="shared" si="158"/>
        <v>0</v>
      </c>
      <c r="V226" s="218"/>
      <c r="W226" s="283"/>
    </row>
    <row r="227" spans="1:23" ht="30" x14ac:dyDescent="0.25">
      <c r="A227" s="233"/>
      <c r="B227" s="223" t="s">
        <v>458</v>
      </c>
      <c r="C227" s="223" t="s">
        <v>462</v>
      </c>
      <c r="D227" s="222"/>
      <c r="E227" s="258" t="s">
        <v>463</v>
      </c>
      <c r="F227" s="258"/>
      <c r="G227" s="224"/>
      <c r="H227" s="224"/>
      <c r="I227" s="225">
        <v>27636000</v>
      </c>
      <c r="J227" s="225">
        <v>6820000</v>
      </c>
      <c r="K227" s="225">
        <f>[1]Nov!I236</f>
        <v>20816000</v>
      </c>
      <c r="L227" s="225"/>
      <c r="M227" s="225"/>
      <c r="N227" s="225">
        <f t="shared" ref="N227" si="159">J227+K227</f>
        <v>27636000</v>
      </c>
      <c r="O227" s="225">
        <f t="shared" ref="O227" si="160">I227-N227</f>
        <v>0</v>
      </c>
      <c r="P227" s="225"/>
      <c r="Q227" s="225"/>
      <c r="R227" s="225">
        <f>N227</f>
        <v>27636000</v>
      </c>
      <c r="S227" s="225"/>
      <c r="T227" s="225"/>
      <c r="U227" s="225"/>
      <c r="V227" s="222"/>
      <c r="W227" s="282"/>
    </row>
    <row r="228" spans="1:23" x14ac:dyDescent="0.25">
      <c r="A228" s="233"/>
      <c r="B228" s="223"/>
      <c r="C228" s="223"/>
      <c r="D228" s="222"/>
      <c r="E228" s="224"/>
      <c r="F228" s="258"/>
      <c r="G228" s="224"/>
      <c r="H228" s="224"/>
      <c r="I228" s="225"/>
      <c r="J228" s="225"/>
      <c r="K228" s="225"/>
      <c r="L228" s="225"/>
      <c r="M228" s="225"/>
      <c r="N228" s="225"/>
      <c r="O228" s="225"/>
      <c r="P228" s="225"/>
      <c r="Q228" s="225"/>
      <c r="R228" s="225"/>
      <c r="S228" s="225"/>
      <c r="T228" s="225"/>
      <c r="U228" s="225"/>
      <c r="V228" s="222"/>
      <c r="W228" s="283"/>
    </row>
    <row r="229" spans="1:23" x14ac:dyDescent="0.25">
      <c r="A229" s="232"/>
      <c r="B229" s="215" t="s">
        <v>464</v>
      </c>
      <c r="C229" s="232"/>
      <c r="D229" s="216" t="s">
        <v>98</v>
      </c>
      <c r="E229" s="214"/>
      <c r="F229" s="291"/>
      <c r="G229" s="214"/>
      <c r="H229" s="214"/>
      <c r="I229" s="217">
        <f>I230+I247</f>
        <v>57705000</v>
      </c>
      <c r="J229" s="217">
        <f>J230+J247</f>
        <v>8120000</v>
      </c>
      <c r="K229" s="217">
        <f>K230+K247</f>
        <v>47468074</v>
      </c>
      <c r="L229" s="217"/>
      <c r="M229" s="217"/>
      <c r="N229" s="217">
        <f>N230+N247</f>
        <v>55588074</v>
      </c>
      <c r="O229" s="217">
        <f>O230+O247</f>
        <v>2116926</v>
      </c>
      <c r="P229" s="217"/>
      <c r="Q229" s="217">
        <f>Q230+Q247</f>
        <v>0</v>
      </c>
      <c r="R229" s="217">
        <f>R230+R247</f>
        <v>0</v>
      </c>
      <c r="S229" s="217">
        <f>S230+S247</f>
        <v>5763074</v>
      </c>
      <c r="T229" s="217">
        <f>T230+T247</f>
        <v>0</v>
      </c>
      <c r="U229" s="217">
        <f>U230+U247</f>
        <v>49825000</v>
      </c>
      <c r="V229" s="214"/>
      <c r="W229" s="283"/>
    </row>
    <row r="230" spans="1:23" ht="60" x14ac:dyDescent="0.25">
      <c r="A230" s="232"/>
      <c r="B230" s="215" t="s">
        <v>465</v>
      </c>
      <c r="C230" s="232"/>
      <c r="D230" s="214"/>
      <c r="E230" s="236" t="s">
        <v>466</v>
      </c>
      <c r="F230" s="236" t="s">
        <v>699</v>
      </c>
      <c r="G230" s="216"/>
      <c r="H230" s="216"/>
      <c r="I230" s="217">
        <f>I231</f>
        <v>53775000</v>
      </c>
      <c r="J230" s="217">
        <f>J231</f>
        <v>8120000</v>
      </c>
      <c r="K230" s="217">
        <f>K231</f>
        <v>43655000</v>
      </c>
      <c r="L230" s="217"/>
      <c r="M230" s="217"/>
      <c r="N230" s="217">
        <f>N231</f>
        <v>51775000</v>
      </c>
      <c r="O230" s="217">
        <f>O231</f>
        <v>2000000</v>
      </c>
      <c r="P230" s="217"/>
      <c r="Q230" s="217">
        <f t="shared" ref="Q230:U230" si="161">Q231</f>
        <v>0</v>
      </c>
      <c r="R230" s="217">
        <f t="shared" si="161"/>
        <v>0</v>
      </c>
      <c r="S230" s="217">
        <f t="shared" si="161"/>
        <v>1950000</v>
      </c>
      <c r="T230" s="217">
        <f t="shared" si="161"/>
        <v>0</v>
      </c>
      <c r="U230" s="217">
        <f t="shared" si="161"/>
        <v>49825000</v>
      </c>
      <c r="V230" s="214"/>
      <c r="W230" s="282"/>
    </row>
    <row r="231" spans="1:23" x14ac:dyDescent="0.25">
      <c r="A231" s="232"/>
      <c r="B231" s="215" t="s">
        <v>465</v>
      </c>
      <c r="C231" s="215" t="s">
        <v>359</v>
      </c>
      <c r="D231" s="214"/>
      <c r="E231" s="216" t="s">
        <v>67</v>
      </c>
      <c r="F231" s="236"/>
      <c r="G231" s="216"/>
      <c r="H231" s="216"/>
      <c r="I231" s="217">
        <f>I232+I236+I239+I241+I244</f>
        <v>53775000</v>
      </c>
      <c r="J231" s="217">
        <f>J232+J236+J239+J241+J244</f>
        <v>8120000</v>
      </c>
      <c r="K231" s="217">
        <f>K232+K236+K239+K241+K244</f>
        <v>43655000</v>
      </c>
      <c r="L231" s="217"/>
      <c r="M231" s="217"/>
      <c r="N231" s="217">
        <f>N232+N236+N239+N241+N244</f>
        <v>51775000</v>
      </c>
      <c r="O231" s="217">
        <f>O232+O236+O239+O241+O244</f>
        <v>2000000</v>
      </c>
      <c r="P231" s="217"/>
      <c r="Q231" s="217">
        <f t="shared" ref="Q231:U231" si="162">Q232+Q236+Q239+Q241+Q244</f>
        <v>0</v>
      </c>
      <c r="R231" s="217">
        <f t="shared" si="162"/>
        <v>0</v>
      </c>
      <c r="S231" s="217">
        <f t="shared" si="162"/>
        <v>1950000</v>
      </c>
      <c r="T231" s="217">
        <f t="shared" si="162"/>
        <v>0</v>
      </c>
      <c r="U231" s="217">
        <f t="shared" si="162"/>
        <v>49825000</v>
      </c>
      <c r="V231" s="214"/>
      <c r="W231" s="283"/>
    </row>
    <row r="232" spans="1:23" x14ac:dyDescent="0.25">
      <c r="A232" s="319"/>
      <c r="B232" s="219" t="s">
        <v>465</v>
      </c>
      <c r="C232" s="219" t="s">
        <v>360</v>
      </c>
      <c r="D232" s="218"/>
      <c r="E232" s="220" t="s">
        <v>361</v>
      </c>
      <c r="F232" s="277"/>
      <c r="G232" s="220"/>
      <c r="H232" s="220"/>
      <c r="I232" s="221">
        <f>SUM(I233:I235)</f>
        <v>16355000</v>
      </c>
      <c r="J232" s="221">
        <f>SUM(J233:J235)</f>
        <v>4620000</v>
      </c>
      <c r="K232" s="221">
        <f>SUM(K233:K235)</f>
        <v>9735000</v>
      </c>
      <c r="L232" s="221"/>
      <c r="M232" s="221"/>
      <c r="N232" s="221">
        <f>SUM(N233:N235)</f>
        <v>14355000</v>
      </c>
      <c r="O232" s="221">
        <f>SUM(O233:O235)</f>
        <v>2000000</v>
      </c>
      <c r="P232" s="221"/>
      <c r="Q232" s="221">
        <f t="shared" ref="Q232:U232" si="163">SUM(Q233:Q235)</f>
        <v>0</v>
      </c>
      <c r="R232" s="221">
        <f t="shared" si="163"/>
        <v>0</v>
      </c>
      <c r="S232" s="221">
        <f t="shared" si="163"/>
        <v>0</v>
      </c>
      <c r="T232" s="221">
        <f t="shared" si="163"/>
        <v>0</v>
      </c>
      <c r="U232" s="221">
        <f t="shared" si="163"/>
        <v>14355000</v>
      </c>
      <c r="V232" s="218"/>
      <c r="W232" s="282"/>
    </row>
    <row r="233" spans="1:23" x14ac:dyDescent="0.25">
      <c r="A233" s="233"/>
      <c r="B233" s="223" t="s">
        <v>465</v>
      </c>
      <c r="C233" s="223" t="s">
        <v>362</v>
      </c>
      <c r="D233" s="222"/>
      <c r="E233" s="224" t="s">
        <v>363</v>
      </c>
      <c r="F233" s="258"/>
      <c r="G233" s="224"/>
      <c r="H233" s="224"/>
      <c r="I233" s="225">
        <v>2178000</v>
      </c>
      <c r="J233" s="225">
        <v>0</v>
      </c>
      <c r="K233" s="225">
        <f>[1]Nov!I242</f>
        <v>2178000</v>
      </c>
      <c r="L233" s="225"/>
      <c r="M233" s="225"/>
      <c r="N233" s="225">
        <f t="shared" ref="N233:N235" si="164">J233+K233</f>
        <v>2178000</v>
      </c>
      <c r="O233" s="225">
        <f t="shared" ref="O233:O235" si="165">I233-N233</f>
        <v>0</v>
      </c>
      <c r="P233" s="225"/>
      <c r="Q233" s="225"/>
      <c r="R233" s="225"/>
      <c r="S233" s="225"/>
      <c r="T233" s="225"/>
      <c r="U233" s="225">
        <f>N233-S233</f>
        <v>2178000</v>
      </c>
      <c r="V233" s="222"/>
      <c r="W233" s="283"/>
    </row>
    <row r="234" spans="1:23" x14ac:dyDescent="0.25">
      <c r="A234" s="233"/>
      <c r="B234" s="223" t="s">
        <v>465</v>
      </c>
      <c r="C234" s="223" t="s">
        <v>366</v>
      </c>
      <c r="D234" s="222"/>
      <c r="E234" s="224" t="s">
        <v>367</v>
      </c>
      <c r="F234" s="258"/>
      <c r="G234" s="224"/>
      <c r="H234" s="224"/>
      <c r="I234" s="225">
        <v>492000</v>
      </c>
      <c r="J234" s="225">
        <v>0</v>
      </c>
      <c r="K234" s="225">
        <f>[1]Nov!I243</f>
        <v>492000</v>
      </c>
      <c r="L234" s="225"/>
      <c r="M234" s="225"/>
      <c r="N234" s="225">
        <f t="shared" si="164"/>
        <v>492000</v>
      </c>
      <c r="O234" s="225">
        <f t="shared" si="165"/>
        <v>0</v>
      </c>
      <c r="P234" s="225"/>
      <c r="Q234" s="225"/>
      <c r="R234" s="225"/>
      <c r="S234" s="225"/>
      <c r="T234" s="225"/>
      <c r="U234" s="225">
        <f t="shared" ref="U234:U238" si="166">N234-S234</f>
        <v>492000</v>
      </c>
      <c r="V234" s="222"/>
      <c r="W234" s="283"/>
    </row>
    <row r="235" spans="1:23" x14ac:dyDescent="0.25">
      <c r="A235" s="233"/>
      <c r="B235" s="223" t="s">
        <v>465</v>
      </c>
      <c r="C235" s="223" t="s">
        <v>368</v>
      </c>
      <c r="D235" s="222"/>
      <c r="E235" s="224" t="s">
        <v>369</v>
      </c>
      <c r="F235" s="258"/>
      <c r="G235" s="224"/>
      <c r="H235" s="224"/>
      <c r="I235" s="225">
        <v>13685000</v>
      </c>
      <c r="J235" s="225">
        <f>3060000+1560000</f>
        <v>4620000</v>
      </c>
      <c r="K235" s="225">
        <f>[1]Nov!I244</f>
        <v>7065000</v>
      </c>
      <c r="L235" s="225"/>
      <c r="M235" s="225"/>
      <c r="N235" s="225">
        <f t="shared" si="164"/>
        <v>11685000</v>
      </c>
      <c r="O235" s="225">
        <f t="shared" si="165"/>
        <v>2000000</v>
      </c>
      <c r="P235" s="225"/>
      <c r="Q235" s="225"/>
      <c r="R235" s="225"/>
      <c r="S235" s="225"/>
      <c r="T235" s="225"/>
      <c r="U235" s="225">
        <f t="shared" si="166"/>
        <v>11685000</v>
      </c>
      <c r="V235" s="222"/>
      <c r="W235" s="282">
        <v>2000000</v>
      </c>
    </row>
    <row r="236" spans="1:23" x14ac:dyDescent="0.25">
      <c r="A236" s="234"/>
      <c r="B236" s="219" t="s">
        <v>465</v>
      </c>
      <c r="C236" s="219" t="s">
        <v>370</v>
      </c>
      <c r="D236" s="218"/>
      <c r="E236" s="220" t="s">
        <v>81</v>
      </c>
      <c r="F236" s="277"/>
      <c r="G236" s="220"/>
      <c r="H236" s="220"/>
      <c r="I236" s="221">
        <f>SUM(I237:I238)</f>
        <v>22530000</v>
      </c>
      <c r="J236" s="221">
        <f>SUM(J237:J238)</f>
        <v>0</v>
      </c>
      <c r="K236" s="221">
        <f>SUM(K237:K238)</f>
        <v>22530000</v>
      </c>
      <c r="L236" s="221"/>
      <c r="M236" s="221"/>
      <c r="N236" s="221">
        <f>SUM(N237:N238)</f>
        <v>22530000</v>
      </c>
      <c r="O236" s="221">
        <f>SUM(O237:O238)</f>
        <v>0</v>
      </c>
      <c r="P236" s="221"/>
      <c r="Q236" s="221">
        <f t="shared" ref="Q236:U236" si="167">SUM(Q237:Q238)</f>
        <v>0</v>
      </c>
      <c r="R236" s="221">
        <f t="shared" si="167"/>
        <v>0</v>
      </c>
      <c r="S236" s="221">
        <f t="shared" si="167"/>
        <v>1950000</v>
      </c>
      <c r="T236" s="221">
        <f t="shared" si="167"/>
        <v>0</v>
      </c>
      <c r="U236" s="221">
        <f t="shared" si="167"/>
        <v>20580000</v>
      </c>
      <c r="V236" s="218"/>
      <c r="W236" s="283"/>
    </row>
    <row r="237" spans="1:23" x14ac:dyDescent="0.25">
      <c r="A237" s="233"/>
      <c r="B237" s="223" t="s">
        <v>465</v>
      </c>
      <c r="C237" s="223" t="s">
        <v>436</v>
      </c>
      <c r="D237" s="222"/>
      <c r="E237" s="224" t="s">
        <v>437</v>
      </c>
      <c r="F237" s="258"/>
      <c r="G237" s="224"/>
      <c r="H237" s="224"/>
      <c r="I237" s="225">
        <v>1950000</v>
      </c>
      <c r="J237" s="225">
        <v>0</v>
      </c>
      <c r="K237" s="225">
        <f>[1]Nov!I246</f>
        <v>1950000</v>
      </c>
      <c r="L237" s="225"/>
      <c r="M237" s="225"/>
      <c r="N237" s="225">
        <f t="shared" ref="N237:N238" si="168">J237+K237</f>
        <v>1950000</v>
      </c>
      <c r="O237" s="225">
        <f t="shared" ref="O237:O238" si="169">I237-N237</f>
        <v>0</v>
      </c>
      <c r="P237" s="225"/>
      <c r="Q237" s="225"/>
      <c r="R237" s="225"/>
      <c r="S237" s="225">
        <f>N237</f>
        <v>1950000</v>
      </c>
      <c r="T237" s="225"/>
      <c r="U237" s="225">
        <f t="shared" si="166"/>
        <v>0</v>
      </c>
      <c r="V237" s="222"/>
      <c r="W237" s="283"/>
    </row>
    <row r="238" spans="1:23" x14ac:dyDescent="0.25">
      <c r="A238" s="233"/>
      <c r="B238" s="223" t="s">
        <v>465</v>
      </c>
      <c r="C238" s="223" t="s">
        <v>422</v>
      </c>
      <c r="D238" s="222"/>
      <c r="E238" s="224" t="s">
        <v>423</v>
      </c>
      <c r="F238" s="258"/>
      <c r="G238" s="224"/>
      <c r="H238" s="224"/>
      <c r="I238" s="225">
        <v>20580000</v>
      </c>
      <c r="J238" s="225">
        <v>0</v>
      </c>
      <c r="K238" s="225">
        <f>[1]Nov!I247</f>
        <v>20580000</v>
      </c>
      <c r="L238" s="225"/>
      <c r="M238" s="225"/>
      <c r="N238" s="225">
        <f t="shared" si="168"/>
        <v>20580000</v>
      </c>
      <c r="O238" s="225">
        <f t="shared" si="169"/>
        <v>0</v>
      </c>
      <c r="P238" s="225"/>
      <c r="Q238" s="225"/>
      <c r="R238" s="225"/>
      <c r="S238" s="225"/>
      <c r="T238" s="225"/>
      <c r="U238" s="225">
        <f t="shared" si="166"/>
        <v>20580000</v>
      </c>
      <c r="V238" s="222"/>
      <c r="W238" s="281"/>
    </row>
    <row r="239" spans="1:23" x14ac:dyDescent="0.25">
      <c r="A239" s="234"/>
      <c r="B239" s="219" t="s">
        <v>465</v>
      </c>
      <c r="C239" s="219" t="s">
        <v>373</v>
      </c>
      <c r="D239" s="218"/>
      <c r="E239" s="220" t="s">
        <v>145</v>
      </c>
      <c r="F239" s="277"/>
      <c r="G239" s="220"/>
      <c r="H239" s="220"/>
      <c r="I239" s="221">
        <f>SUM(I240)</f>
        <v>800000</v>
      </c>
      <c r="J239" s="221">
        <f>SUM(J240)</f>
        <v>800000</v>
      </c>
      <c r="K239" s="221">
        <f>SUM(K240)</f>
        <v>0</v>
      </c>
      <c r="L239" s="221"/>
      <c r="M239" s="221"/>
      <c r="N239" s="221">
        <f>SUM(N240)</f>
        <v>800000</v>
      </c>
      <c r="O239" s="221">
        <f>SUM(O240)</f>
        <v>0</v>
      </c>
      <c r="P239" s="221"/>
      <c r="Q239" s="221">
        <f t="shared" ref="Q239:U239" si="170">SUM(Q240)</f>
        <v>0</v>
      </c>
      <c r="R239" s="221">
        <f t="shared" si="170"/>
        <v>0</v>
      </c>
      <c r="S239" s="221">
        <f t="shared" si="170"/>
        <v>0</v>
      </c>
      <c r="T239" s="221">
        <f t="shared" si="170"/>
        <v>0</v>
      </c>
      <c r="U239" s="221">
        <f t="shared" si="170"/>
        <v>800000</v>
      </c>
      <c r="V239" s="218"/>
      <c r="W239" s="281"/>
    </row>
    <row r="240" spans="1:23" x14ac:dyDescent="0.25">
      <c r="A240" s="233"/>
      <c r="B240" s="223" t="s">
        <v>465</v>
      </c>
      <c r="C240" s="223" t="s">
        <v>374</v>
      </c>
      <c r="D240" s="222"/>
      <c r="E240" s="224" t="s">
        <v>375</v>
      </c>
      <c r="F240" s="258"/>
      <c r="G240" s="224"/>
      <c r="H240" s="224"/>
      <c r="I240" s="225">
        <v>800000</v>
      </c>
      <c r="J240" s="225">
        <v>800000</v>
      </c>
      <c r="K240" s="225">
        <f>[1]Nov!I249</f>
        <v>0</v>
      </c>
      <c r="L240" s="225"/>
      <c r="M240" s="225"/>
      <c r="N240" s="225">
        <f t="shared" ref="N240" si="171">J240+K240</f>
        <v>800000</v>
      </c>
      <c r="O240" s="225">
        <f t="shared" ref="O240" si="172">I240-N240</f>
        <v>0</v>
      </c>
      <c r="P240" s="225"/>
      <c r="Q240" s="225"/>
      <c r="R240" s="225"/>
      <c r="S240" s="225"/>
      <c r="T240" s="225"/>
      <c r="U240" s="225">
        <f t="shared" ref="U240" si="173">N240-S240</f>
        <v>800000</v>
      </c>
      <c r="V240" s="222"/>
      <c r="W240" s="282"/>
    </row>
    <row r="241" spans="1:23" x14ac:dyDescent="0.25">
      <c r="A241" s="234"/>
      <c r="B241" s="219" t="s">
        <v>465</v>
      </c>
      <c r="C241" s="219" t="s">
        <v>455</v>
      </c>
      <c r="D241" s="218"/>
      <c r="E241" s="220" t="s">
        <v>83</v>
      </c>
      <c r="F241" s="277"/>
      <c r="G241" s="220"/>
      <c r="H241" s="220"/>
      <c r="I241" s="221">
        <f>SUM(I242:I243)</f>
        <v>4700000</v>
      </c>
      <c r="J241" s="221">
        <f>SUM(J242:J243)</f>
        <v>2700000</v>
      </c>
      <c r="K241" s="221">
        <f>SUM(K242:K243)</f>
        <v>2000000</v>
      </c>
      <c r="L241" s="221"/>
      <c r="M241" s="221"/>
      <c r="N241" s="221">
        <f>SUM(N242:N243)</f>
        <v>4700000</v>
      </c>
      <c r="O241" s="221">
        <f>SUM(O242:O243)</f>
        <v>0</v>
      </c>
      <c r="P241" s="221"/>
      <c r="Q241" s="221">
        <f t="shared" ref="Q241:U241" si="174">SUM(Q242:Q243)</f>
        <v>0</v>
      </c>
      <c r="R241" s="221">
        <f t="shared" si="174"/>
        <v>0</v>
      </c>
      <c r="S241" s="221">
        <f t="shared" si="174"/>
        <v>0</v>
      </c>
      <c r="T241" s="221">
        <f t="shared" si="174"/>
        <v>0</v>
      </c>
      <c r="U241" s="221">
        <f t="shared" si="174"/>
        <v>4700000</v>
      </c>
      <c r="V241" s="218"/>
      <c r="W241" s="283"/>
    </row>
    <row r="242" spans="1:23" x14ac:dyDescent="0.25">
      <c r="A242" s="233"/>
      <c r="B242" s="223" t="s">
        <v>465</v>
      </c>
      <c r="C242" s="223" t="s">
        <v>456</v>
      </c>
      <c r="D242" s="222"/>
      <c r="E242" s="224" t="s">
        <v>457</v>
      </c>
      <c r="F242" s="258"/>
      <c r="G242" s="224"/>
      <c r="H242" s="224"/>
      <c r="I242" s="225">
        <v>2700000</v>
      </c>
      <c r="J242" s="225">
        <v>2700000</v>
      </c>
      <c r="K242" s="225">
        <f>[1]Nov!I251</f>
        <v>0</v>
      </c>
      <c r="L242" s="225"/>
      <c r="M242" s="225"/>
      <c r="N242" s="225">
        <f t="shared" ref="N242:N243" si="175">J242+K242</f>
        <v>2700000</v>
      </c>
      <c r="O242" s="225">
        <f t="shared" ref="O242:O243" si="176">I242-N242</f>
        <v>0</v>
      </c>
      <c r="P242" s="225"/>
      <c r="Q242" s="225"/>
      <c r="R242" s="225"/>
      <c r="S242" s="225"/>
      <c r="T242" s="225"/>
      <c r="U242" s="225">
        <f t="shared" ref="U242:U243" si="177">N242-S242</f>
        <v>2700000</v>
      </c>
      <c r="V242" s="222"/>
      <c r="W242" s="282"/>
    </row>
    <row r="243" spans="1:23" x14ac:dyDescent="0.25">
      <c r="A243" s="233"/>
      <c r="B243" s="223" t="s">
        <v>465</v>
      </c>
      <c r="C243" s="223" t="s">
        <v>467</v>
      </c>
      <c r="D243" s="222"/>
      <c r="E243" s="224" t="s">
        <v>468</v>
      </c>
      <c r="F243" s="258"/>
      <c r="G243" s="224"/>
      <c r="H243" s="224"/>
      <c r="I243" s="225">
        <v>2000000</v>
      </c>
      <c r="J243" s="225">
        <v>0</v>
      </c>
      <c r="K243" s="225">
        <f>[1]Nov!I252</f>
        <v>2000000</v>
      </c>
      <c r="L243" s="225"/>
      <c r="M243" s="225"/>
      <c r="N243" s="225">
        <f t="shared" si="175"/>
        <v>2000000</v>
      </c>
      <c r="O243" s="225">
        <f t="shared" si="176"/>
        <v>0</v>
      </c>
      <c r="P243" s="225"/>
      <c r="Q243" s="225"/>
      <c r="R243" s="225"/>
      <c r="S243" s="225"/>
      <c r="T243" s="225"/>
      <c r="U243" s="225">
        <f t="shared" si="177"/>
        <v>2000000</v>
      </c>
      <c r="V243" s="222"/>
      <c r="W243" s="283"/>
    </row>
    <row r="244" spans="1:23" ht="28.5" x14ac:dyDescent="0.25">
      <c r="A244" s="234"/>
      <c r="B244" s="219" t="s">
        <v>465</v>
      </c>
      <c r="C244" s="219" t="s">
        <v>460</v>
      </c>
      <c r="D244" s="218"/>
      <c r="E244" s="277" t="s">
        <v>461</v>
      </c>
      <c r="F244" s="277"/>
      <c r="G244" s="220"/>
      <c r="H244" s="220"/>
      <c r="I244" s="221">
        <f>SUM(I245)</f>
        <v>9390000</v>
      </c>
      <c r="J244" s="221">
        <f>SUM(J245)</f>
        <v>0</v>
      </c>
      <c r="K244" s="221">
        <f>SUM(K245)</f>
        <v>9390000</v>
      </c>
      <c r="L244" s="221"/>
      <c r="M244" s="221"/>
      <c r="N244" s="221">
        <f>SUM(N245)</f>
        <v>9390000</v>
      </c>
      <c r="O244" s="221">
        <f>SUM(O245)</f>
        <v>0</v>
      </c>
      <c r="P244" s="221"/>
      <c r="Q244" s="221">
        <f t="shared" ref="Q244:U244" si="178">SUM(Q245)</f>
        <v>0</v>
      </c>
      <c r="R244" s="221">
        <f t="shared" si="178"/>
        <v>0</v>
      </c>
      <c r="S244" s="221">
        <f t="shared" si="178"/>
        <v>0</v>
      </c>
      <c r="T244" s="221">
        <f t="shared" si="178"/>
        <v>0</v>
      </c>
      <c r="U244" s="221">
        <f t="shared" si="178"/>
        <v>9390000</v>
      </c>
      <c r="V244" s="218"/>
      <c r="W244" s="282"/>
    </row>
    <row r="245" spans="1:23" ht="30" x14ac:dyDescent="0.25">
      <c r="A245" s="243"/>
      <c r="B245" s="244" t="s">
        <v>465</v>
      </c>
      <c r="C245" s="244" t="s">
        <v>462</v>
      </c>
      <c r="D245" s="245"/>
      <c r="E245" s="295" t="s">
        <v>463</v>
      </c>
      <c r="F245" s="295"/>
      <c r="G245" s="246"/>
      <c r="H245" s="246"/>
      <c r="I245" s="247">
        <v>9390000</v>
      </c>
      <c r="J245" s="247">
        <v>0</v>
      </c>
      <c r="K245" s="225">
        <f>[1]Nov!I254</f>
        <v>9390000</v>
      </c>
      <c r="L245" s="247"/>
      <c r="M245" s="247"/>
      <c r="N245" s="247">
        <f t="shared" ref="N245" si="179">J245+K245</f>
        <v>9390000</v>
      </c>
      <c r="O245" s="247">
        <f t="shared" ref="O245" si="180">I245-N245</f>
        <v>0</v>
      </c>
      <c r="P245" s="247"/>
      <c r="Q245" s="247"/>
      <c r="R245" s="247"/>
      <c r="S245" s="247"/>
      <c r="T245" s="247"/>
      <c r="U245" s="225">
        <f t="shared" ref="U245" si="181">N245-S245</f>
        <v>9390000</v>
      </c>
      <c r="V245" s="245"/>
      <c r="W245" s="283"/>
    </row>
    <row r="246" spans="1:23" x14ac:dyDescent="0.25">
      <c r="A246" s="248"/>
      <c r="B246" s="289"/>
      <c r="C246" s="289"/>
      <c r="D246" s="265"/>
      <c r="E246" s="290"/>
      <c r="F246" s="297"/>
      <c r="G246" s="290"/>
      <c r="H246" s="290"/>
      <c r="I246" s="270"/>
      <c r="J246" s="270"/>
      <c r="K246" s="270"/>
      <c r="L246" s="270"/>
      <c r="M246" s="270"/>
      <c r="N246" s="270"/>
      <c r="O246" s="270"/>
      <c r="P246" s="270"/>
      <c r="Q246" s="270"/>
      <c r="R246" s="270"/>
      <c r="S246" s="270"/>
      <c r="T246" s="270"/>
      <c r="U246" s="270"/>
      <c r="V246" s="265"/>
      <c r="W246" s="283"/>
    </row>
    <row r="247" spans="1:23" ht="60" x14ac:dyDescent="0.25">
      <c r="A247" s="257"/>
      <c r="B247" s="211" t="s">
        <v>469</v>
      </c>
      <c r="C247" s="257"/>
      <c r="D247" s="210"/>
      <c r="E247" s="314" t="s">
        <v>470</v>
      </c>
      <c r="F247" s="314" t="s">
        <v>700</v>
      </c>
      <c r="G247" s="212"/>
      <c r="H247" s="212"/>
      <c r="I247" s="241">
        <f>I248</f>
        <v>3930000</v>
      </c>
      <c r="J247" s="241">
        <f>J248</f>
        <v>0</v>
      </c>
      <c r="K247" s="241">
        <f>K248</f>
        <v>3813074</v>
      </c>
      <c r="L247" s="241"/>
      <c r="M247" s="241"/>
      <c r="N247" s="241">
        <f>N248</f>
        <v>3813074</v>
      </c>
      <c r="O247" s="241">
        <f>O248</f>
        <v>116926</v>
      </c>
      <c r="P247" s="241"/>
      <c r="Q247" s="241">
        <f t="shared" ref="Q247:U247" si="182">Q248</f>
        <v>0</v>
      </c>
      <c r="R247" s="241">
        <f t="shared" si="182"/>
        <v>0</v>
      </c>
      <c r="S247" s="241">
        <f t="shared" si="182"/>
        <v>3813074</v>
      </c>
      <c r="T247" s="241">
        <f t="shared" si="182"/>
        <v>0</v>
      </c>
      <c r="U247" s="241">
        <f t="shared" si="182"/>
        <v>0</v>
      </c>
      <c r="V247" s="210"/>
      <c r="W247" s="281"/>
    </row>
    <row r="248" spans="1:23" x14ac:dyDescent="0.25">
      <c r="A248" s="232"/>
      <c r="B248" s="215" t="s">
        <v>469</v>
      </c>
      <c r="C248" s="215" t="s">
        <v>359</v>
      </c>
      <c r="D248" s="214"/>
      <c r="E248" s="216" t="s">
        <v>67</v>
      </c>
      <c r="F248" s="236"/>
      <c r="G248" s="216"/>
      <c r="H248" s="216"/>
      <c r="I248" s="217">
        <f>I249+I251+I253</f>
        <v>3930000</v>
      </c>
      <c r="J248" s="217">
        <f>J249+J251+J253</f>
        <v>0</v>
      </c>
      <c r="K248" s="217">
        <f>K249+K251+K253</f>
        <v>3813074</v>
      </c>
      <c r="L248" s="217"/>
      <c r="M248" s="217"/>
      <c r="N248" s="217">
        <f>N249+N251+N253</f>
        <v>3813074</v>
      </c>
      <c r="O248" s="217">
        <f>O249+O251+O253</f>
        <v>116926</v>
      </c>
      <c r="P248" s="217"/>
      <c r="Q248" s="217">
        <f t="shared" ref="Q248:U248" si="183">Q249+Q251+Q253</f>
        <v>0</v>
      </c>
      <c r="R248" s="217">
        <f t="shared" si="183"/>
        <v>0</v>
      </c>
      <c r="S248" s="217">
        <f t="shared" si="183"/>
        <v>3813074</v>
      </c>
      <c r="T248" s="217">
        <f t="shared" si="183"/>
        <v>0</v>
      </c>
      <c r="U248" s="217">
        <f t="shared" si="183"/>
        <v>0</v>
      </c>
      <c r="V248" s="214"/>
      <c r="W248" s="281"/>
    </row>
    <row r="249" spans="1:23" x14ac:dyDescent="0.25">
      <c r="A249" s="234"/>
      <c r="B249" s="219" t="s">
        <v>469</v>
      </c>
      <c r="C249" s="219" t="s">
        <v>360</v>
      </c>
      <c r="D249" s="218"/>
      <c r="E249" s="220" t="s">
        <v>361</v>
      </c>
      <c r="F249" s="277"/>
      <c r="G249" s="220"/>
      <c r="H249" s="220"/>
      <c r="I249" s="221">
        <f>SUM(I250)</f>
        <v>180000</v>
      </c>
      <c r="J249" s="221">
        <f>SUM(J250)</f>
        <v>0</v>
      </c>
      <c r="K249" s="221">
        <f>SUM(K250)</f>
        <v>180000</v>
      </c>
      <c r="L249" s="221"/>
      <c r="M249" s="221"/>
      <c r="N249" s="221">
        <f>SUM(N250)</f>
        <v>180000</v>
      </c>
      <c r="O249" s="221">
        <f>SUM(O250)</f>
        <v>0</v>
      </c>
      <c r="P249" s="221"/>
      <c r="Q249" s="221">
        <f t="shared" ref="Q249:U249" si="184">SUM(Q250)</f>
        <v>0</v>
      </c>
      <c r="R249" s="221">
        <f t="shared" si="184"/>
        <v>0</v>
      </c>
      <c r="S249" s="221">
        <f t="shared" si="184"/>
        <v>180000</v>
      </c>
      <c r="T249" s="221">
        <f t="shared" si="184"/>
        <v>0</v>
      </c>
      <c r="U249" s="221">
        <f t="shared" si="184"/>
        <v>0</v>
      </c>
      <c r="V249" s="218"/>
      <c r="W249" s="281"/>
    </row>
    <row r="250" spans="1:23" x14ac:dyDescent="0.25">
      <c r="A250" s="233"/>
      <c r="B250" s="223" t="s">
        <v>469</v>
      </c>
      <c r="C250" s="223" t="s">
        <v>368</v>
      </c>
      <c r="D250" s="222"/>
      <c r="E250" s="224" t="s">
        <v>369</v>
      </c>
      <c r="F250" s="258"/>
      <c r="G250" s="224"/>
      <c r="H250" s="224"/>
      <c r="I250" s="225">
        <v>180000</v>
      </c>
      <c r="J250" s="225">
        <v>0</v>
      </c>
      <c r="K250" s="225">
        <f>[1]Nov!I264</f>
        <v>180000</v>
      </c>
      <c r="L250" s="225"/>
      <c r="M250" s="225"/>
      <c r="N250" s="225">
        <f t="shared" ref="N250" si="185">J250+K250</f>
        <v>180000</v>
      </c>
      <c r="O250" s="225">
        <f t="shared" ref="O250" si="186">I250-N250</f>
        <v>0</v>
      </c>
      <c r="P250" s="225"/>
      <c r="Q250" s="225"/>
      <c r="R250" s="225"/>
      <c r="S250" s="225">
        <f>N250</f>
        <v>180000</v>
      </c>
      <c r="T250" s="225"/>
      <c r="U250" s="225"/>
      <c r="V250" s="222"/>
      <c r="W250" s="281"/>
    </row>
    <row r="251" spans="1:23" x14ac:dyDescent="0.25">
      <c r="A251" s="234"/>
      <c r="B251" s="219" t="s">
        <v>469</v>
      </c>
      <c r="C251" s="219" t="s">
        <v>370</v>
      </c>
      <c r="D251" s="218"/>
      <c r="E251" s="220" t="s">
        <v>81</v>
      </c>
      <c r="F251" s="277"/>
      <c r="G251" s="220"/>
      <c r="H251" s="220"/>
      <c r="I251" s="221">
        <f>SUM(I252)</f>
        <v>450000</v>
      </c>
      <c r="J251" s="221">
        <f>SUM(J252)</f>
        <v>0</v>
      </c>
      <c r="K251" s="221">
        <f>SUM(K252)</f>
        <v>450000</v>
      </c>
      <c r="L251" s="221"/>
      <c r="M251" s="221"/>
      <c r="N251" s="221">
        <f>SUM(N252)</f>
        <v>450000</v>
      </c>
      <c r="O251" s="221">
        <f>SUM(O252)</f>
        <v>0</v>
      </c>
      <c r="P251" s="221"/>
      <c r="Q251" s="221">
        <f t="shared" ref="Q251:U251" si="187">SUM(Q252)</f>
        <v>0</v>
      </c>
      <c r="R251" s="221">
        <f t="shared" si="187"/>
        <v>0</v>
      </c>
      <c r="S251" s="221">
        <f t="shared" si="187"/>
        <v>450000</v>
      </c>
      <c r="T251" s="221">
        <f t="shared" si="187"/>
        <v>0</v>
      </c>
      <c r="U251" s="221">
        <f t="shared" si="187"/>
        <v>0</v>
      </c>
      <c r="V251" s="218"/>
      <c r="W251" s="282"/>
    </row>
    <row r="252" spans="1:23" ht="30" x14ac:dyDescent="0.25">
      <c r="A252" s="233"/>
      <c r="B252" s="223" t="s">
        <v>469</v>
      </c>
      <c r="C252" s="223" t="s">
        <v>436</v>
      </c>
      <c r="D252" s="222"/>
      <c r="E252" s="258" t="s">
        <v>437</v>
      </c>
      <c r="F252" s="258"/>
      <c r="G252" s="224"/>
      <c r="H252" s="224"/>
      <c r="I252" s="225">
        <v>450000</v>
      </c>
      <c r="J252" s="225">
        <v>0</v>
      </c>
      <c r="K252" s="225">
        <f>[1]Nov!I266</f>
        <v>450000</v>
      </c>
      <c r="L252" s="225"/>
      <c r="M252" s="225"/>
      <c r="N252" s="225">
        <f t="shared" ref="N252" si="188">J252+K252</f>
        <v>450000</v>
      </c>
      <c r="O252" s="225">
        <f t="shared" ref="O252" si="189">I252-N252</f>
        <v>0</v>
      </c>
      <c r="P252" s="225"/>
      <c r="Q252" s="225"/>
      <c r="R252" s="225"/>
      <c r="S252" s="225">
        <f>N252</f>
        <v>450000</v>
      </c>
      <c r="T252" s="225"/>
      <c r="U252" s="225"/>
      <c r="V252" s="222"/>
      <c r="W252" s="283"/>
    </row>
    <row r="253" spans="1:23" x14ac:dyDescent="0.25">
      <c r="A253" s="234"/>
      <c r="B253" s="219" t="s">
        <v>469</v>
      </c>
      <c r="C253" s="219" t="s">
        <v>378</v>
      </c>
      <c r="D253" s="218"/>
      <c r="E253" s="220" t="s">
        <v>78</v>
      </c>
      <c r="F253" s="277"/>
      <c r="G253" s="220"/>
      <c r="H253" s="220"/>
      <c r="I253" s="221">
        <f>SUM(I254)</f>
        <v>3300000</v>
      </c>
      <c r="J253" s="221">
        <f>SUM(J254)</f>
        <v>0</v>
      </c>
      <c r="K253" s="221">
        <f>SUM(K254)</f>
        <v>3183074</v>
      </c>
      <c r="L253" s="221"/>
      <c r="M253" s="221"/>
      <c r="N253" s="221">
        <f>SUM(N254)</f>
        <v>3183074</v>
      </c>
      <c r="O253" s="221">
        <f>SUM(O254)</f>
        <v>116926</v>
      </c>
      <c r="P253" s="221"/>
      <c r="Q253" s="221">
        <f t="shared" ref="Q253:U253" si="190">SUM(Q254)</f>
        <v>0</v>
      </c>
      <c r="R253" s="221">
        <f t="shared" si="190"/>
        <v>0</v>
      </c>
      <c r="S253" s="221">
        <f t="shared" si="190"/>
        <v>3183074</v>
      </c>
      <c r="T253" s="221">
        <f t="shared" si="190"/>
        <v>0</v>
      </c>
      <c r="U253" s="221">
        <f t="shared" si="190"/>
        <v>0</v>
      </c>
      <c r="V253" s="218"/>
      <c r="W253" s="283"/>
    </row>
    <row r="254" spans="1:23" x14ac:dyDescent="0.25">
      <c r="A254" s="233"/>
      <c r="B254" s="223" t="s">
        <v>469</v>
      </c>
      <c r="C254" s="223" t="s">
        <v>385</v>
      </c>
      <c r="D254" s="222"/>
      <c r="E254" s="224" t="s">
        <v>386</v>
      </c>
      <c r="F254" s="258"/>
      <c r="G254" s="224"/>
      <c r="H254" s="224"/>
      <c r="I254" s="225">
        <v>3300000</v>
      </c>
      <c r="J254" s="225">
        <v>0</v>
      </c>
      <c r="K254" s="225">
        <f>[1]Nov!I268</f>
        <v>3183074</v>
      </c>
      <c r="L254" s="225"/>
      <c r="M254" s="225"/>
      <c r="N254" s="225">
        <f t="shared" ref="N254" si="191">J254+K254</f>
        <v>3183074</v>
      </c>
      <c r="O254" s="225">
        <f t="shared" ref="O254" si="192">I254-N254</f>
        <v>116926</v>
      </c>
      <c r="P254" s="225"/>
      <c r="Q254" s="225"/>
      <c r="R254" s="225"/>
      <c r="S254" s="225">
        <f>N254</f>
        <v>3183074</v>
      </c>
      <c r="T254" s="225"/>
      <c r="U254" s="225"/>
      <c r="V254" s="222"/>
      <c r="W254" s="282"/>
    </row>
    <row r="255" spans="1:23" x14ac:dyDescent="0.25">
      <c r="A255" s="233"/>
      <c r="B255" s="223"/>
      <c r="C255" s="223"/>
      <c r="D255" s="222"/>
      <c r="E255" s="224"/>
      <c r="F255" s="258"/>
      <c r="G255" s="224"/>
      <c r="H255" s="224"/>
      <c r="I255" s="225"/>
      <c r="J255" s="225"/>
      <c r="K255" s="225"/>
      <c r="L255" s="225"/>
      <c r="M255" s="225"/>
      <c r="N255" s="225"/>
      <c r="O255" s="225"/>
      <c r="P255" s="225"/>
      <c r="Q255" s="225"/>
      <c r="R255" s="225"/>
      <c r="S255" s="225"/>
      <c r="T255" s="225"/>
      <c r="U255" s="225"/>
      <c r="V255" s="222"/>
      <c r="W255" s="283"/>
    </row>
    <row r="256" spans="1:23" x14ac:dyDescent="0.25">
      <c r="A256" s="249"/>
      <c r="B256" s="250">
        <v>2</v>
      </c>
      <c r="C256" s="249"/>
      <c r="D256" s="252" t="s">
        <v>471</v>
      </c>
      <c r="E256" s="251"/>
      <c r="F256" s="296"/>
      <c r="G256" s="251"/>
      <c r="H256" s="251"/>
      <c r="I256" s="253">
        <f>I257+I293+I381+I443+I466</f>
        <v>901315842</v>
      </c>
      <c r="J256" s="253">
        <f>J257+J293+J381+J443+J466</f>
        <v>182567150</v>
      </c>
      <c r="K256" s="253">
        <f>K257+K293+K381+K443+K466</f>
        <v>414747450</v>
      </c>
      <c r="L256" s="253"/>
      <c r="M256" s="253"/>
      <c r="N256" s="253">
        <f>N257+N293+N381+N443+N466</f>
        <v>597314600</v>
      </c>
      <c r="O256" s="253">
        <f>O257+O293+O381+O443+O466</f>
        <v>304001242</v>
      </c>
      <c r="P256" s="253"/>
      <c r="Q256" s="253">
        <f>Q257+Q293+Q381+Q443+Q466</f>
        <v>597314600</v>
      </c>
      <c r="R256" s="253">
        <f>R257+R293+R381+R443+R466</f>
        <v>0</v>
      </c>
      <c r="S256" s="253">
        <f>S257+S293+S381+S443+S466</f>
        <v>0</v>
      </c>
      <c r="T256" s="253">
        <f>T257+T293+T381+T443+T466</f>
        <v>0</v>
      </c>
      <c r="U256" s="253">
        <f>U257+U293+U381+U443+U466</f>
        <v>0</v>
      </c>
      <c r="V256" s="251"/>
      <c r="W256" s="283"/>
    </row>
    <row r="257" spans="1:23" x14ac:dyDescent="0.25">
      <c r="A257" s="232"/>
      <c r="B257" s="215" t="s">
        <v>472</v>
      </c>
      <c r="C257" s="232"/>
      <c r="D257" s="216" t="s">
        <v>473</v>
      </c>
      <c r="E257" s="214"/>
      <c r="F257" s="291"/>
      <c r="G257" s="214"/>
      <c r="H257" s="214"/>
      <c r="I257" s="217">
        <f>I258+I270+I280</f>
        <v>105845500</v>
      </c>
      <c r="J257" s="217">
        <f>J258+J270+J280</f>
        <v>52294450</v>
      </c>
      <c r="K257" s="217">
        <f>K258+K270+K280</f>
        <v>35997500</v>
      </c>
      <c r="L257" s="217"/>
      <c r="M257" s="217"/>
      <c r="N257" s="217">
        <f>N258+N270+N280</f>
        <v>88291950</v>
      </c>
      <c r="O257" s="217">
        <f>O258+O270+O280</f>
        <v>17553550</v>
      </c>
      <c r="P257" s="217"/>
      <c r="Q257" s="217">
        <f>Q258+Q270+Q280</f>
        <v>88291950</v>
      </c>
      <c r="R257" s="217">
        <f>R258+R270+R280</f>
        <v>0</v>
      </c>
      <c r="S257" s="217">
        <f>S258+S270+S280</f>
        <v>0</v>
      </c>
      <c r="T257" s="217">
        <f>T258+T270+T280</f>
        <v>0</v>
      </c>
      <c r="U257" s="217">
        <f>U258+U270+U280</f>
        <v>0</v>
      </c>
      <c r="V257" s="214"/>
      <c r="W257" s="283"/>
    </row>
    <row r="258" spans="1:23" ht="60" x14ac:dyDescent="0.25">
      <c r="A258" s="232"/>
      <c r="B258" s="242" t="s">
        <v>474</v>
      </c>
      <c r="C258" s="232"/>
      <c r="D258" s="214"/>
      <c r="E258" s="236" t="s">
        <v>475</v>
      </c>
      <c r="F258" s="236" t="s">
        <v>701</v>
      </c>
      <c r="G258" s="236"/>
      <c r="H258" s="236"/>
      <c r="I258" s="237">
        <f>I259</f>
        <v>13358000</v>
      </c>
      <c r="J258" s="237">
        <f>J259</f>
        <v>600000</v>
      </c>
      <c r="K258" s="237">
        <f>K259</f>
        <v>7494000</v>
      </c>
      <c r="L258" s="237"/>
      <c r="M258" s="237"/>
      <c r="N258" s="237">
        <f>N259</f>
        <v>8094000</v>
      </c>
      <c r="O258" s="237">
        <f>O259</f>
        <v>5264000</v>
      </c>
      <c r="P258" s="237"/>
      <c r="Q258" s="237">
        <f t="shared" ref="Q258:U258" si="193">Q259</f>
        <v>8094000</v>
      </c>
      <c r="R258" s="237">
        <f t="shared" si="193"/>
        <v>0</v>
      </c>
      <c r="S258" s="237">
        <f t="shared" si="193"/>
        <v>0</v>
      </c>
      <c r="T258" s="237">
        <f t="shared" si="193"/>
        <v>0</v>
      </c>
      <c r="U258" s="237">
        <f t="shared" si="193"/>
        <v>0</v>
      </c>
      <c r="V258" s="214"/>
      <c r="W258" s="281"/>
    </row>
    <row r="259" spans="1:23" x14ac:dyDescent="0.25">
      <c r="A259" s="232"/>
      <c r="B259" s="215" t="s">
        <v>474</v>
      </c>
      <c r="C259" s="215" t="s">
        <v>359</v>
      </c>
      <c r="D259" s="214"/>
      <c r="E259" s="216" t="s">
        <v>67</v>
      </c>
      <c r="F259" s="236"/>
      <c r="G259" s="216"/>
      <c r="H259" s="216"/>
      <c r="I259" s="217">
        <f>I260+I263+I267</f>
        <v>13358000</v>
      </c>
      <c r="J259" s="217">
        <f>J260+J263+J267</f>
        <v>600000</v>
      </c>
      <c r="K259" s="217">
        <f>K260+K263+K267</f>
        <v>7494000</v>
      </c>
      <c r="L259" s="217"/>
      <c r="M259" s="217"/>
      <c r="N259" s="217">
        <f>N260+N263+N267</f>
        <v>8094000</v>
      </c>
      <c r="O259" s="217">
        <f>O260+O263+O267</f>
        <v>5264000</v>
      </c>
      <c r="P259" s="217"/>
      <c r="Q259" s="217">
        <f t="shared" ref="Q259:U259" si="194">Q260+Q263+Q267</f>
        <v>8094000</v>
      </c>
      <c r="R259" s="217">
        <f t="shared" si="194"/>
        <v>0</v>
      </c>
      <c r="S259" s="217">
        <f t="shared" si="194"/>
        <v>0</v>
      </c>
      <c r="T259" s="217">
        <f t="shared" si="194"/>
        <v>0</v>
      </c>
      <c r="U259" s="217">
        <f t="shared" si="194"/>
        <v>0</v>
      </c>
      <c r="V259" s="214"/>
      <c r="W259" s="281"/>
    </row>
    <row r="260" spans="1:23" x14ac:dyDescent="0.25">
      <c r="A260" s="234"/>
      <c r="B260" s="219" t="s">
        <v>474</v>
      </c>
      <c r="C260" s="219" t="s">
        <v>360</v>
      </c>
      <c r="D260" s="218"/>
      <c r="E260" s="220" t="s">
        <v>361</v>
      </c>
      <c r="F260" s="277"/>
      <c r="G260" s="220"/>
      <c r="H260" s="220"/>
      <c r="I260" s="221">
        <f>SUM(I261:I262)</f>
        <v>854000</v>
      </c>
      <c r="J260" s="221">
        <f>SUM(J261:J262)</f>
        <v>0</v>
      </c>
      <c r="K260" s="221">
        <f>SUM(K261:K262)</f>
        <v>0</v>
      </c>
      <c r="L260" s="221"/>
      <c r="M260" s="221"/>
      <c r="N260" s="221">
        <f>SUM(N261:N262)</f>
        <v>0</v>
      </c>
      <c r="O260" s="221">
        <f>SUM(O261:O262)</f>
        <v>854000</v>
      </c>
      <c r="P260" s="221"/>
      <c r="Q260" s="221">
        <f t="shared" ref="Q260:U260" si="195">SUM(Q261:Q262)</f>
        <v>0</v>
      </c>
      <c r="R260" s="221">
        <f t="shared" si="195"/>
        <v>0</v>
      </c>
      <c r="S260" s="221">
        <f t="shared" si="195"/>
        <v>0</v>
      </c>
      <c r="T260" s="221">
        <f t="shared" si="195"/>
        <v>0</v>
      </c>
      <c r="U260" s="221">
        <f t="shared" si="195"/>
        <v>0</v>
      </c>
      <c r="V260" s="218"/>
      <c r="W260" s="282"/>
    </row>
    <row r="261" spans="1:23" x14ac:dyDescent="0.25">
      <c r="A261" s="233"/>
      <c r="B261" s="223" t="s">
        <v>474</v>
      </c>
      <c r="C261" s="223" t="s">
        <v>366</v>
      </c>
      <c r="D261" s="222"/>
      <c r="E261" s="224" t="s">
        <v>367</v>
      </c>
      <c r="F261" s="258"/>
      <c r="G261" s="224"/>
      <c r="H261" s="224"/>
      <c r="I261" s="225">
        <v>54000</v>
      </c>
      <c r="J261" s="225">
        <v>0</v>
      </c>
      <c r="K261" s="225">
        <f>[1]Nov!I275</f>
        <v>0</v>
      </c>
      <c r="L261" s="225"/>
      <c r="M261" s="225"/>
      <c r="N261" s="225">
        <f t="shared" ref="N261:N262" si="196">J261+K261</f>
        <v>0</v>
      </c>
      <c r="O261" s="225">
        <f t="shared" ref="O261:O262" si="197">I261-N261</f>
        <v>54000</v>
      </c>
      <c r="P261" s="225"/>
      <c r="Q261" s="225"/>
      <c r="R261" s="225"/>
      <c r="S261" s="225"/>
      <c r="T261" s="225"/>
      <c r="U261" s="225"/>
      <c r="V261" s="222"/>
      <c r="W261" s="283"/>
    </row>
    <row r="262" spans="1:23" x14ac:dyDescent="0.25">
      <c r="A262" s="233"/>
      <c r="B262" s="223" t="s">
        <v>474</v>
      </c>
      <c r="C262" s="223" t="s">
        <v>368</v>
      </c>
      <c r="D262" s="222"/>
      <c r="E262" s="224" t="s">
        <v>369</v>
      </c>
      <c r="F262" s="258"/>
      <c r="G262" s="224"/>
      <c r="H262" s="224"/>
      <c r="I262" s="225">
        <v>800000</v>
      </c>
      <c r="J262" s="225">
        <v>0</v>
      </c>
      <c r="K262" s="225">
        <f>[1]Nov!I276</f>
        <v>0</v>
      </c>
      <c r="L262" s="225"/>
      <c r="M262" s="225"/>
      <c r="N262" s="225">
        <f t="shared" si="196"/>
        <v>0</v>
      </c>
      <c r="O262" s="225">
        <f t="shared" si="197"/>
        <v>800000</v>
      </c>
      <c r="P262" s="225"/>
      <c r="Q262" s="225"/>
      <c r="R262" s="225"/>
      <c r="S262" s="225"/>
      <c r="T262" s="225"/>
      <c r="U262" s="225"/>
      <c r="V262" s="222"/>
      <c r="W262" s="283"/>
    </row>
    <row r="263" spans="1:23" x14ac:dyDescent="0.25">
      <c r="A263" s="234"/>
      <c r="B263" s="219" t="s">
        <v>474</v>
      </c>
      <c r="C263" s="219" t="s">
        <v>370</v>
      </c>
      <c r="D263" s="218"/>
      <c r="E263" s="220" t="s">
        <v>81</v>
      </c>
      <c r="F263" s="277"/>
      <c r="G263" s="220"/>
      <c r="H263" s="220"/>
      <c r="I263" s="221">
        <f>SUM(I264:I266)</f>
        <v>10710000</v>
      </c>
      <c r="J263" s="221">
        <f>SUM(J264:J266)</f>
        <v>600000</v>
      </c>
      <c r="K263" s="221">
        <f>SUM(K264:K266)</f>
        <v>5700000</v>
      </c>
      <c r="L263" s="221"/>
      <c r="M263" s="221"/>
      <c r="N263" s="221">
        <f>SUM(N264:N266)</f>
        <v>6300000</v>
      </c>
      <c r="O263" s="221">
        <f>SUM(O264:O266)</f>
        <v>4410000</v>
      </c>
      <c r="P263" s="221"/>
      <c r="Q263" s="221">
        <f t="shared" ref="Q263:U263" si="198">SUM(Q264:Q266)</f>
        <v>6300000</v>
      </c>
      <c r="R263" s="221">
        <f t="shared" si="198"/>
        <v>0</v>
      </c>
      <c r="S263" s="221">
        <f t="shared" si="198"/>
        <v>0</v>
      </c>
      <c r="T263" s="221">
        <f t="shared" si="198"/>
        <v>0</v>
      </c>
      <c r="U263" s="221">
        <f t="shared" si="198"/>
        <v>0</v>
      </c>
      <c r="V263" s="218"/>
      <c r="W263" s="282"/>
    </row>
    <row r="264" spans="1:23" ht="30" x14ac:dyDescent="0.25">
      <c r="A264" s="233"/>
      <c r="B264" s="223" t="s">
        <v>474</v>
      </c>
      <c r="C264" s="223" t="s">
        <v>476</v>
      </c>
      <c r="D264" s="222"/>
      <c r="E264" s="258" t="s">
        <v>477</v>
      </c>
      <c r="F264" s="258"/>
      <c r="G264" s="224"/>
      <c r="H264" s="224"/>
      <c r="I264" s="225">
        <v>900000</v>
      </c>
      <c r="J264" s="225">
        <v>0</v>
      </c>
      <c r="K264" s="225">
        <f>[1]Nov!I278</f>
        <v>0</v>
      </c>
      <c r="L264" s="225"/>
      <c r="M264" s="225"/>
      <c r="N264" s="225">
        <f t="shared" ref="N264:N266" si="199">J264+K264</f>
        <v>0</v>
      </c>
      <c r="O264" s="225">
        <f t="shared" ref="O264:O266" si="200">I264-N264</f>
        <v>900000</v>
      </c>
      <c r="P264" s="225"/>
      <c r="Q264" s="225"/>
      <c r="R264" s="225"/>
      <c r="S264" s="225"/>
      <c r="T264" s="225"/>
      <c r="U264" s="225"/>
      <c r="V264" s="222"/>
      <c r="W264" s="283"/>
    </row>
    <row r="265" spans="1:23" ht="30" x14ac:dyDescent="0.25">
      <c r="A265" s="233"/>
      <c r="B265" s="223" t="s">
        <v>474</v>
      </c>
      <c r="C265" s="223" t="s">
        <v>478</v>
      </c>
      <c r="D265" s="222"/>
      <c r="E265" s="258" t="s">
        <v>479</v>
      </c>
      <c r="F265" s="258"/>
      <c r="G265" s="224"/>
      <c r="H265" s="224"/>
      <c r="I265" s="225">
        <v>510000</v>
      </c>
      <c r="J265" s="225">
        <v>0</v>
      </c>
      <c r="K265" s="225">
        <f>[1]Nov!I279</f>
        <v>0</v>
      </c>
      <c r="L265" s="225"/>
      <c r="M265" s="225"/>
      <c r="N265" s="225">
        <f t="shared" si="199"/>
        <v>0</v>
      </c>
      <c r="O265" s="225">
        <f t="shared" si="200"/>
        <v>510000</v>
      </c>
      <c r="P265" s="225"/>
      <c r="Q265" s="225"/>
      <c r="R265" s="225"/>
      <c r="S265" s="225"/>
      <c r="T265" s="225"/>
      <c r="U265" s="225"/>
      <c r="V265" s="222"/>
      <c r="W265" s="282"/>
    </row>
    <row r="266" spans="1:23" x14ac:dyDescent="0.25">
      <c r="A266" s="233"/>
      <c r="B266" s="223" t="s">
        <v>474</v>
      </c>
      <c r="C266" s="223" t="s">
        <v>398</v>
      </c>
      <c r="D266" s="222"/>
      <c r="E266" s="258" t="s">
        <v>399</v>
      </c>
      <c r="F266" s="258"/>
      <c r="G266" s="224"/>
      <c r="H266" s="224"/>
      <c r="I266" s="225">
        <v>9300000</v>
      </c>
      <c r="J266" s="225">
        <v>600000</v>
      </c>
      <c r="K266" s="225">
        <f>[1]Nov!I280</f>
        <v>5700000</v>
      </c>
      <c r="L266" s="225"/>
      <c r="M266" s="225"/>
      <c r="N266" s="225">
        <f t="shared" si="199"/>
        <v>6300000</v>
      </c>
      <c r="O266" s="225">
        <f t="shared" si="200"/>
        <v>3000000</v>
      </c>
      <c r="P266" s="225"/>
      <c r="Q266" s="225">
        <f>N266</f>
        <v>6300000</v>
      </c>
      <c r="R266" s="225"/>
      <c r="S266" s="225"/>
      <c r="T266" s="225"/>
      <c r="U266" s="225"/>
      <c r="V266" s="222"/>
      <c r="W266" s="283"/>
    </row>
    <row r="267" spans="1:23" ht="28.5" x14ac:dyDescent="0.25">
      <c r="A267" s="234"/>
      <c r="B267" s="219" t="s">
        <v>474</v>
      </c>
      <c r="C267" s="219" t="s">
        <v>460</v>
      </c>
      <c r="D267" s="218"/>
      <c r="E267" s="277" t="s">
        <v>461</v>
      </c>
      <c r="F267" s="277"/>
      <c r="G267" s="220"/>
      <c r="H267" s="220"/>
      <c r="I267" s="221">
        <f>SUM(I268)</f>
        <v>1794000</v>
      </c>
      <c r="J267" s="221">
        <f>SUM(J268)</f>
        <v>0</v>
      </c>
      <c r="K267" s="221">
        <f>SUM(K268)</f>
        <v>1794000</v>
      </c>
      <c r="L267" s="221"/>
      <c r="M267" s="221"/>
      <c r="N267" s="221">
        <f>SUM(N268)</f>
        <v>1794000</v>
      </c>
      <c r="O267" s="221">
        <f>SUM(O268)</f>
        <v>0</v>
      </c>
      <c r="P267" s="221"/>
      <c r="Q267" s="221">
        <f t="shared" ref="Q267:U267" si="201">SUM(Q268)</f>
        <v>1794000</v>
      </c>
      <c r="R267" s="221">
        <f t="shared" si="201"/>
        <v>0</v>
      </c>
      <c r="S267" s="221">
        <f t="shared" si="201"/>
        <v>0</v>
      </c>
      <c r="T267" s="221">
        <f t="shared" si="201"/>
        <v>0</v>
      </c>
      <c r="U267" s="221">
        <f t="shared" si="201"/>
        <v>0</v>
      </c>
      <c r="V267" s="218"/>
      <c r="W267" s="283"/>
    </row>
    <row r="268" spans="1:23" ht="30" x14ac:dyDescent="0.25">
      <c r="A268" s="233"/>
      <c r="B268" s="223" t="s">
        <v>474</v>
      </c>
      <c r="C268" s="223" t="s">
        <v>462</v>
      </c>
      <c r="D268" s="222"/>
      <c r="E268" s="258" t="s">
        <v>463</v>
      </c>
      <c r="F268" s="258"/>
      <c r="G268" s="224"/>
      <c r="H268" s="224"/>
      <c r="I268" s="225">
        <v>1794000</v>
      </c>
      <c r="J268" s="225">
        <v>0</v>
      </c>
      <c r="K268" s="225">
        <f>[1]Nov!I282</f>
        <v>1794000</v>
      </c>
      <c r="L268" s="225"/>
      <c r="M268" s="225"/>
      <c r="N268" s="225">
        <f t="shared" ref="N268" si="202">J268+K268</f>
        <v>1794000</v>
      </c>
      <c r="O268" s="225">
        <f t="shared" ref="O268" si="203">I268-N268</f>
        <v>0</v>
      </c>
      <c r="P268" s="225"/>
      <c r="Q268" s="225">
        <f>N268</f>
        <v>1794000</v>
      </c>
      <c r="R268" s="225"/>
      <c r="S268" s="225"/>
      <c r="T268" s="225"/>
      <c r="U268" s="225"/>
      <c r="V268" s="222"/>
      <c r="W268" s="281"/>
    </row>
    <row r="269" spans="1:23" x14ac:dyDescent="0.25">
      <c r="A269" s="233"/>
      <c r="B269" s="223"/>
      <c r="C269" s="223"/>
      <c r="D269" s="222"/>
      <c r="E269" s="224"/>
      <c r="F269" s="258"/>
      <c r="G269" s="224"/>
      <c r="H269" s="224"/>
      <c r="I269" s="225"/>
      <c r="J269" s="225"/>
      <c r="K269" s="225"/>
      <c r="L269" s="225"/>
      <c r="M269" s="225"/>
      <c r="N269" s="225"/>
      <c r="O269" s="225"/>
      <c r="P269" s="225"/>
      <c r="Q269" s="225"/>
      <c r="R269" s="225"/>
      <c r="S269" s="225"/>
      <c r="T269" s="225"/>
      <c r="U269" s="225"/>
      <c r="V269" s="222"/>
      <c r="W269" s="281"/>
    </row>
    <row r="270" spans="1:23" ht="45" x14ac:dyDescent="0.25">
      <c r="A270" s="232"/>
      <c r="B270" s="242" t="s">
        <v>480</v>
      </c>
      <c r="C270" s="232"/>
      <c r="D270" s="214"/>
      <c r="E270" s="236" t="s">
        <v>481</v>
      </c>
      <c r="F270" s="236" t="s">
        <v>702</v>
      </c>
      <c r="G270" s="236"/>
      <c r="H270" s="236"/>
      <c r="I270" s="237">
        <f>I271</f>
        <v>3120000</v>
      </c>
      <c r="J270" s="237">
        <f>J271</f>
        <v>2862500</v>
      </c>
      <c r="K270" s="237">
        <f>K271</f>
        <v>227500</v>
      </c>
      <c r="L270" s="237"/>
      <c r="M270" s="237"/>
      <c r="N270" s="237">
        <f>N271</f>
        <v>3090000</v>
      </c>
      <c r="O270" s="237">
        <f>O271</f>
        <v>30000</v>
      </c>
      <c r="P270" s="237"/>
      <c r="Q270" s="237">
        <f t="shared" ref="Q270:U270" si="204">Q271</f>
        <v>3090000</v>
      </c>
      <c r="R270" s="237">
        <f t="shared" si="204"/>
        <v>0</v>
      </c>
      <c r="S270" s="237">
        <f t="shared" si="204"/>
        <v>0</v>
      </c>
      <c r="T270" s="237">
        <f t="shared" si="204"/>
        <v>0</v>
      </c>
      <c r="U270" s="237">
        <f t="shared" si="204"/>
        <v>0</v>
      </c>
      <c r="V270" s="214"/>
      <c r="W270" s="282"/>
    </row>
    <row r="271" spans="1:23" x14ac:dyDescent="0.25">
      <c r="A271" s="232"/>
      <c r="B271" s="215" t="s">
        <v>480</v>
      </c>
      <c r="C271" s="215" t="s">
        <v>359</v>
      </c>
      <c r="D271" s="214"/>
      <c r="E271" s="216" t="s">
        <v>67</v>
      </c>
      <c r="F271" s="236"/>
      <c r="G271" s="216"/>
      <c r="H271" s="216"/>
      <c r="I271" s="217">
        <f>I272+I275+I277</f>
        <v>3120000</v>
      </c>
      <c r="J271" s="217">
        <f>J272+J275+J277</f>
        <v>2862500</v>
      </c>
      <c r="K271" s="217">
        <f>K272+K275+K277</f>
        <v>227500</v>
      </c>
      <c r="L271" s="217"/>
      <c r="M271" s="217"/>
      <c r="N271" s="217">
        <f>N272+N275+N277</f>
        <v>3090000</v>
      </c>
      <c r="O271" s="217">
        <f>O272+O275+O277</f>
        <v>30000</v>
      </c>
      <c r="P271" s="217"/>
      <c r="Q271" s="217">
        <f t="shared" ref="Q271:U271" si="205">Q272+Q275+Q277</f>
        <v>3090000</v>
      </c>
      <c r="R271" s="217">
        <f t="shared" si="205"/>
        <v>0</v>
      </c>
      <c r="S271" s="217">
        <f t="shared" si="205"/>
        <v>0</v>
      </c>
      <c r="T271" s="217">
        <f t="shared" si="205"/>
        <v>0</v>
      </c>
      <c r="U271" s="217">
        <f t="shared" si="205"/>
        <v>0</v>
      </c>
      <c r="V271" s="214"/>
      <c r="W271" s="283"/>
    </row>
    <row r="272" spans="1:23" x14ac:dyDescent="0.25">
      <c r="A272" s="234"/>
      <c r="B272" s="219" t="s">
        <v>480</v>
      </c>
      <c r="C272" s="219" t="s">
        <v>360</v>
      </c>
      <c r="D272" s="218"/>
      <c r="E272" s="220" t="s">
        <v>361</v>
      </c>
      <c r="F272" s="277"/>
      <c r="G272" s="220"/>
      <c r="H272" s="220"/>
      <c r="I272" s="221">
        <f>SUM(I273:I274)</f>
        <v>300000</v>
      </c>
      <c r="J272" s="221">
        <f>SUM(J273:J274)</f>
        <v>300000</v>
      </c>
      <c r="K272" s="221">
        <f>SUM(K273:K274)</f>
        <v>0</v>
      </c>
      <c r="L272" s="221"/>
      <c r="M272" s="221"/>
      <c r="N272" s="221">
        <f>SUM(N273:N274)</f>
        <v>300000</v>
      </c>
      <c r="O272" s="221">
        <f>SUM(O273:O274)</f>
        <v>0</v>
      </c>
      <c r="P272" s="221"/>
      <c r="Q272" s="221">
        <f t="shared" ref="Q272:U272" si="206">SUM(Q273:Q274)</f>
        <v>300000</v>
      </c>
      <c r="R272" s="221">
        <f t="shared" si="206"/>
        <v>0</v>
      </c>
      <c r="S272" s="221">
        <f t="shared" si="206"/>
        <v>0</v>
      </c>
      <c r="T272" s="221">
        <f t="shared" si="206"/>
        <v>0</v>
      </c>
      <c r="U272" s="221">
        <f t="shared" si="206"/>
        <v>0</v>
      </c>
      <c r="V272" s="218"/>
      <c r="W272" s="283"/>
    </row>
    <row r="273" spans="1:23" x14ac:dyDescent="0.25">
      <c r="A273" s="233"/>
      <c r="B273" s="223" t="s">
        <v>480</v>
      </c>
      <c r="C273" s="223" t="s">
        <v>362</v>
      </c>
      <c r="D273" s="222"/>
      <c r="E273" s="224" t="s">
        <v>363</v>
      </c>
      <c r="F273" s="258"/>
      <c r="G273" s="224"/>
      <c r="H273" s="224"/>
      <c r="I273" s="225">
        <v>100000</v>
      </c>
      <c r="J273" s="225">
        <v>100000</v>
      </c>
      <c r="K273" s="225">
        <f>[1]Nov!I287</f>
        <v>0</v>
      </c>
      <c r="L273" s="225"/>
      <c r="M273" s="225"/>
      <c r="N273" s="225">
        <f t="shared" ref="N273:N274" si="207">J273+K273</f>
        <v>100000</v>
      </c>
      <c r="O273" s="225">
        <f t="shared" ref="O273:O274" si="208">I273-N273</f>
        <v>0</v>
      </c>
      <c r="P273" s="225"/>
      <c r="Q273" s="225">
        <f>N273</f>
        <v>100000</v>
      </c>
      <c r="R273" s="225"/>
      <c r="S273" s="225"/>
      <c r="T273" s="225"/>
      <c r="U273" s="225"/>
      <c r="V273" s="222"/>
      <c r="W273" s="283"/>
    </row>
    <row r="274" spans="1:23" x14ac:dyDescent="0.25">
      <c r="A274" s="233"/>
      <c r="B274" s="223" t="s">
        <v>480</v>
      </c>
      <c r="C274" s="223" t="s">
        <v>482</v>
      </c>
      <c r="D274" s="222"/>
      <c r="E274" s="224" t="s">
        <v>367</v>
      </c>
      <c r="F274" s="258"/>
      <c r="G274" s="224"/>
      <c r="H274" s="224"/>
      <c r="I274" s="225">
        <v>200000</v>
      </c>
      <c r="J274" s="225">
        <v>200000</v>
      </c>
      <c r="K274" s="225">
        <f>[1]Nov!I288</f>
        <v>0</v>
      </c>
      <c r="L274" s="225"/>
      <c r="M274" s="225"/>
      <c r="N274" s="225">
        <f t="shared" si="207"/>
        <v>200000</v>
      </c>
      <c r="O274" s="225">
        <f t="shared" si="208"/>
        <v>0</v>
      </c>
      <c r="P274" s="225"/>
      <c r="Q274" s="225">
        <f>N274</f>
        <v>200000</v>
      </c>
      <c r="R274" s="225"/>
      <c r="S274" s="225"/>
      <c r="T274" s="225"/>
      <c r="U274" s="225"/>
      <c r="V274" s="222"/>
      <c r="W274" s="283"/>
    </row>
    <row r="275" spans="1:23" x14ac:dyDescent="0.25">
      <c r="A275" s="234"/>
      <c r="B275" s="219" t="s">
        <v>480</v>
      </c>
      <c r="C275" s="219" t="s">
        <v>370</v>
      </c>
      <c r="D275" s="218"/>
      <c r="E275" s="220" t="s">
        <v>81</v>
      </c>
      <c r="F275" s="277"/>
      <c r="G275" s="220"/>
      <c r="H275" s="220"/>
      <c r="I275" s="221">
        <f>SUM(I276)</f>
        <v>2400000</v>
      </c>
      <c r="J275" s="221">
        <f>SUM(J276)</f>
        <v>2400000</v>
      </c>
      <c r="K275" s="221">
        <f>SUM(K276)</f>
        <v>0</v>
      </c>
      <c r="L275" s="221"/>
      <c r="M275" s="221"/>
      <c r="N275" s="221">
        <f>SUM(N276)</f>
        <v>2400000</v>
      </c>
      <c r="O275" s="221">
        <f>SUM(O276)</f>
        <v>0</v>
      </c>
      <c r="P275" s="221"/>
      <c r="Q275" s="221">
        <f t="shared" ref="Q275:U275" si="209">SUM(Q276)</f>
        <v>2400000</v>
      </c>
      <c r="R275" s="221">
        <f t="shared" si="209"/>
        <v>0</v>
      </c>
      <c r="S275" s="221">
        <f t="shared" si="209"/>
        <v>0</v>
      </c>
      <c r="T275" s="221">
        <f t="shared" si="209"/>
        <v>0</v>
      </c>
      <c r="U275" s="221">
        <f t="shared" si="209"/>
        <v>0</v>
      </c>
      <c r="V275" s="218"/>
      <c r="W275" s="281"/>
    </row>
    <row r="276" spans="1:23" x14ac:dyDescent="0.25">
      <c r="A276" s="233"/>
      <c r="B276" s="223" t="s">
        <v>480</v>
      </c>
      <c r="C276" s="223" t="s">
        <v>422</v>
      </c>
      <c r="D276" s="222"/>
      <c r="E276" s="224" t="s">
        <v>423</v>
      </c>
      <c r="F276" s="258"/>
      <c r="G276" s="224"/>
      <c r="H276" s="224"/>
      <c r="I276" s="225">
        <v>2400000</v>
      </c>
      <c r="J276" s="225">
        <v>2400000</v>
      </c>
      <c r="K276" s="225">
        <f>[1]Nov!I290</f>
        <v>0</v>
      </c>
      <c r="L276" s="225"/>
      <c r="M276" s="225"/>
      <c r="N276" s="225">
        <f t="shared" ref="N276" si="210">J276+K276</f>
        <v>2400000</v>
      </c>
      <c r="O276" s="225">
        <f t="shared" ref="O276" si="211">I276-N276</f>
        <v>0</v>
      </c>
      <c r="P276" s="225"/>
      <c r="Q276" s="225">
        <f>N276</f>
        <v>2400000</v>
      </c>
      <c r="R276" s="225"/>
      <c r="S276" s="225"/>
      <c r="T276" s="225"/>
      <c r="U276" s="225"/>
      <c r="V276" s="222"/>
      <c r="W276" s="282"/>
    </row>
    <row r="277" spans="1:23" x14ac:dyDescent="0.25">
      <c r="A277" s="234"/>
      <c r="B277" s="219" t="s">
        <v>480</v>
      </c>
      <c r="C277" s="219" t="s">
        <v>378</v>
      </c>
      <c r="D277" s="218"/>
      <c r="E277" s="220" t="s">
        <v>78</v>
      </c>
      <c r="F277" s="277"/>
      <c r="G277" s="220"/>
      <c r="H277" s="220"/>
      <c r="I277" s="221">
        <f>SUM(I278)</f>
        <v>420000</v>
      </c>
      <c r="J277" s="221">
        <f>SUM(J278)</f>
        <v>162500</v>
      </c>
      <c r="K277" s="221">
        <f>SUM(K278)</f>
        <v>227500</v>
      </c>
      <c r="L277" s="221"/>
      <c r="M277" s="221"/>
      <c r="N277" s="221">
        <f>SUM(N278)</f>
        <v>390000</v>
      </c>
      <c r="O277" s="221">
        <f>SUM(O278)</f>
        <v>30000</v>
      </c>
      <c r="P277" s="221"/>
      <c r="Q277" s="221">
        <f t="shared" ref="Q277:U277" si="212">SUM(Q278)</f>
        <v>390000</v>
      </c>
      <c r="R277" s="221">
        <f t="shared" si="212"/>
        <v>0</v>
      </c>
      <c r="S277" s="221">
        <f t="shared" si="212"/>
        <v>0</v>
      </c>
      <c r="T277" s="221">
        <f t="shared" si="212"/>
        <v>0</v>
      </c>
      <c r="U277" s="221">
        <f t="shared" si="212"/>
        <v>0</v>
      </c>
      <c r="V277" s="218"/>
      <c r="W277" s="283"/>
    </row>
    <row r="278" spans="1:23" x14ac:dyDescent="0.25">
      <c r="A278" s="243"/>
      <c r="B278" s="244" t="s">
        <v>480</v>
      </c>
      <c r="C278" s="244" t="s">
        <v>483</v>
      </c>
      <c r="D278" s="245"/>
      <c r="E278" s="246" t="s">
        <v>484</v>
      </c>
      <c r="F278" s="295"/>
      <c r="G278" s="246"/>
      <c r="H278" s="246"/>
      <c r="I278" s="247">
        <v>420000</v>
      </c>
      <c r="J278" s="247">
        <v>162500</v>
      </c>
      <c r="K278" s="225">
        <f>[1]Nov!I292</f>
        <v>227500</v>
      </c>
      <c r="L278" s="247"/>
      <c r="M278" s="247"/>
      <c r="N278" s="247">
        <f t="shared" ref="N278" si="213">J278+K278</f>
        <v>390000</v>
      </c>
      <c r="O278" s="247">
        <f t="shared" ref="O278" si="214">I278-N278</f>
        <v>30000</v>
      </c>
      <c r="P278" s="247"/>
      <c r="Q278" s="247">
        <f>N278</f>
        <v>390000</v>
      </c>
      <c r="R278" s="247"/>
      <c r="S278" s="247"/>
      <c r="T278" s="247"/>
      <c r="U278" s="247"/>
      <c r="V278" s="245"/>
      <c r="W278" s="283"/>
    </row>
    <row r="279" spans="1:23" x14ac:dyDescent="0.25">
      <c r="A279" s="248"/>
      <c r="B279" s="289"/>
      <c r="C279" s="289"/>
      <c r="D279" s="265"/>
      <c r="E279" s="290"/>
      <c r="F279" s="297"/>
      <c r="G279" s="290"/>
      <c r="H279" s="290"/>
      <c r="I279" s="270"/>
      <c r="J279" s="270"/>
      <c r="K279" s="270"/>
      <c r="L279" s="270"/>
      <c r="M279" s="270"/>
      <c r="N279" s="270"/>
      <c r="O279" s="270"/>
      <c r="P279" s="270"/>
      <c r="Q279" s="270"/>
      <c r="R279" s="270"/>
      <c r="S279" s="270"/>
      <c r="T279" s="270"/>
      <c r="U279" s="270"/>
      <c r="V279" s="265"/>
      <c r="W279" s="283"/>
    </row>
    <row r="280" spans="1:23" ht="45" x14ac:dyDescent="0.25">
      <c r="A280" s="232"/>
      <c r="B280" s="250" t="s">
        <v>485</v>
      </c>
      <c r="C280" s="249"/>
      <c r="D280" s="251"/>
      <c r="E280" s="255" t="s">
        <v>486</v>
      </c>
      <c r="F280" s="255" t="s">
        <v>703</v>
      </c>
      <c r="G280" s="252"/>
      <c r="H280" s="252"/>
      <c r="I280" s="253">
        <f>I281+I287</f>
        <v>89367500</v>
      </c>
      <c r="J280" s="253">
        <f>J281+J287</f>
        <v>48831950</v>
      </c>
      <c r="K280" s="253">
        <f>K281+K287</f>
        <v>28276000</v>
      </c>
      <c r="L280" s="253"/>
      <c r="M280" s="253"/>
      <c r="N280" s="253">
        <f>N281+N287</f>
        <v>77107950</v>
      </c>
      <c r="O280" s="253">
        <f>O281+O287</f>
        <v>12259550</v>
      </c>
      <c r="P280" s="253"/>
      <c r="Q280" s="253">
        <f t="shared" ref="Q280:U280" si="215">Q281+Q287</f>
        <v>77107950</v>
      </c>
      <c r="R280" s="253">
        <f t="shared" si="215"/>
        <v>0</v>
      </c>
      <c r="S280" s="253">
        <f t="shared" si="215"/>
        <v>0</v>
      </c>
      <c r="T280" s="253">
        <f t="shared" si="215"/>
        <v>0</v>
      </c>
      <c r="U280" s="253">
        <f t="shared" si="215"/>
        <v>0</v>
      </c>
      <c r="V280" s="251"/>
      <c r="W280" s="283"/>
    </row>
    <row r="281" spans="1:23" x14ac:dyDescent="0.25">
      <c r="A281" s="232"/>
      <c r="B281" s="215" t="s">
        <v>485</v>
      </c>
      <c r="C281" s="215" t="s">
        <v>359</v>
      </c>
      <c r="D281" s="214"/>
      <c r="E281" s="236" t="s">
        <v>67</v>
      </c>
      <c r="F281" s="236"/>
      <c r="G281" s="216"/>
      <c r="H281" s="216"/>
      <c r="I281" s="217">
        <f>I282</f>
        <v>730000</v>
      </c>
      <c r="J281" s="217">
        <f>J282</f>
        <v>0</v>
      </c>
      <c r="K281" s="217">
        <f>K282</f>
        <v>730000</v>
      </c>
      <c r="L281" s="217"/>
      <c r="M281" s="217"/>
      <c r="N281" s="217">
        <f>N282</f>
        <v>730000</v>
      </c>
      <c r="O281" s="217">
        <f>O282</f>
        <v>0</v>
      </c>
      <c r="P281" s="217"/>
      <c r="Q281" s="217">
        <f t="shared" ref="Q281:U281" si="216">Q282</f>
        <v>730000</v>
      </c>
      <c r="R281" s="217">
        <f t="shared" si="216"/>
        <v>0</v>
      </c>
      <c r="S281" s="217">
        <f t="shared" si="216"/>
        <v>0</v>
      </c>
      <c r="T281" s="217">
        <f t="shared" si="216"/>
        <v>0</v>
      </c>
      <c r="U281" s="217">
        <f t="shared" si="216"/>
        <v>0</v>
      </c>
      <c r="V281" s="214"/>
      <c r="W281" s="281"/>
    </row>
    <row r="282" spans="1:23" x14ac:dyDescent="0.25">
      <c r="A282" s="234"/>
      <c r="B282" s="219" t="s">
        <v>485</v>
      </c>
      <c r="C282" s="219" t="s">
        <v>360</v>
      </c>
      <c r="D282" s="218"/>
      <c r="E282" s="277" t="s">
        <v>361</v>
      </c>
      <c r="F282" s="277"/>
      <c r="G282" s="220"/>
      <c r="H282" s="220"/>
      <c r="I282" s="221">
        <f>SUM(I283:I286)</f>
        <v>730000</v>
      </c>
      <c r="J282" s="221">
        <f>SUM(J283:J286)</f>
        <v>0</v>
      </c>
      <c r="K282" s="221">
        <f>SUM(K283:K286)</f>
        <v>730000</v>
      </c>
      <c r="L282" s="221"/>
      <c r="M282" s="221"/>
      <c r="N282" s="221">
        <f>SUM(N283:N286)</f>
        <v>730000</v>
      </c>
      <c r="O282" s="221">
        <f>SUM(O283:O286)</f>
        <v>0</v>
      </c>
      <c r="P282" s="221"/>
      <c r="Q282" s="221">
        <f t="shared" ref="Q282:U282" si="217">SUM(Q283:Q286)</f>
        <v>730000</v>
      </c>
      <c r="R282" s="221">
        <f t="shared" si="217"/>
        <v>0</v>
      </c>
      <c r="S282" s="221">
        <f t="shared" si="217"/>
        <v>0</v>
      </c>
      <c r="T282" s="221">
        <f t="shared" si="217"/>
        <v>0</v>
      </c>
      <c r="U282" s="221">
        <f t="shared" si="217"/>
        <v>0</v>
      </c>
      <c r="V282" s="218"/>
      <c r="W282" s="281"/>
    </row>
    <row r="283" spans="1:23" ht="30" x14ac:dyDescent="0.25">
      <c r="A283" s="233"/>
      <c r="B283" s="223" t="s">
        <v>485</v>
      </c>
      <c r="C283" s="223" t="s">
        <v>362</v>
      </c>
      <c r="D283" s="222"/>
      <c r="E283" s="258" t="s">
        <v>363</v>
      </c>
      <c r="F283" s="258"/>
      <c r="G283" s="224"/>
      <c r="H283" s="224"/>
      <c r="I283" s="225">
        <v>100000</v>
      </c>
      <c r="J283" s="225">
        <v>0</v>
      </c>
      <c r="K283" s="225">
        <f>[1]Nov!I302</f>
        <v>100000</v>
      </c>
      <c r="L283" s="225"/>
      <c r="M283" s="225"/>
      <c r="N283" s="225">
        <f t="shared" ref="N283:N286" si="218">J283+K283</f>
        <v>100000</v>
      </c>
      <c r="O283" s="225">
        <f t="shared" ref="O283:O286" si="219">I283-N283</f>
        <v>0</v>
      </c>
      <c r="P283" s="225"/>
      <c r="Q283" s="225">
        <f>N283</f>
        <v>100000</v>
      </c>
      <c r="R283" s="225"/>
      <c r="S283" s="225"/>
      <c r="T283" s="225"/>
      <c r="U283" s="225"/>
      <c r="V283" s="222"/>
      <c r="W283" s="281"/>
    </row>
    <row r="284" spans="1:23" ht="30" x14ac:dyDescent="0.25">
      <c r="A284" s="233"/>
      <c r="B284" s="223" t="s">
        <v>485</v>
      </c>
      <c r="C284" s="223" t="s">
        <v>366</v>
      </c>
      <c r="D284" s="222"/>
      <c r="E284" s="258" t="s">
        <v>367</v>
      </c>
      <c r="F284" s="258"/>
      <c r="G284" s="224"/>
      <c r="H284" s="224"/>
      <c r="I284" s="225">
        <v>100000</v>
      </c>
      <c r="J284" s="225">
        <v>0</v>
      </c>
      <c r="K284" s="225">
        <f>[1]Nov!I303</f>
        <v>100000</v>
      </c>
      <c r="L284" s="225"/>
      <c r="M284" s="225"/>
      <c r="N284" s="225">
        <f t="shared" si="218"/>
        <v>100000</v>
      </c>
      <c r="O284" s="225">
        <f t="shared" si="219"/>
        <v>0</v>
      </c>
      <c r="P284" s="225"/>
      <c r="Q284" s="225">
        <f t="shared" ref="Q284:Q286" si="220">N284</f>
        <v>100000</v>
      </c>
      <c r="R284" s="225"/>
      <c r="S284" s="225"/>
      <c r="T284" s="225"/>
      <c r="U284" s="225"/>
      <c r="V284" s="222"/>
      <c r="W284" s="282"/>
    </row>
    <row r="285" spans="1:23" ht="30" x14ac:dyDescent="0.25">
      <c r="A285" s="233"/>
      <c r="B285" s="223" t="s">
        <v>485</v>
      </c>
      <c r="C285" s="223" t="s">
        <v>368</v>
      </c>
      <c r="D285" s="222"/>
      <c r="E285" s="258" t="s">
        <v>369</v>
      </c>
      <c r="F285" s="258"/>
      <c r="G285" s="224"/>
      <c r="H285" s="224"/>
      <c r="I285" s="225">
        <v>180000</v>
      </c>
      <c r="J285" s="225">
        <v>0</v>
      </c>
      <c r="K285" s="225">
        <f>[1]Nov!I304</f>
        <v>180000</v>
      </c>
      <c r="L285" s="225"/>
      <c r="M285" s="225"/>
      <c r="N285" s="225">
        <f t="shared" si="218"/>
        <v>180000</v>
      </c>
      <c r="O285" s="225">
        <f t="shared" si="219"/>
        <v>0</v>
      </c>
      <c r="P285" s="225"/>
      <c r="Q285" s="225">
        <f t="shared" si="220"/>
        <v>180000</v>
      </c>
      <c r="R285" s="225"/>
      <c r="S285" s="225"/>
      <c r="T285" s="225"/>
      <c r="U285" s="225"/>
      <c r="V285" s="222"/>
      <c r="W285" s="283"/>
    </row>
    <row r="286" spans="1:23" x14ac:dyDescent="0.25">
      <c r="A286" s="233"/>
      <c r="B286" s="223" t="s">
        <v>485</v>
      </c>
      <c r="C286" s="223" t="s">
        <v>487</v>
      </c>
      <c r="D286" s="222"/>
      <c r="E286" s="258" t="s">
        <v>488</v>
      </c>
      <c r="F286" s="258"/>
      <c r="G286" s="224"/>
      <c r="H286" s="224"/>
      <c r="I286" s="225">
        <v>350000</v>
      </c>
      <c r="J286" s="225">
        <v>0</v>
      </c>
      <c r="K286" s="225">
        <f>[1]Nov!I305</f>
        <v>350000</v>
      </c>
      <c r="L286" s="225"/>
      <c r="M286" s="225"/>
      <c r="N286" s="225">
        <f t="shared" si="218"/>
        <v>350000</v>
      </c>
      <c r="O286" s="225">
        <f t="shared" si="219"/>
        <v>0</v>
      </c>
      <c r="P286" s="225"/>
      <c r="Q286" s="225">
        <f t="shared" si="220"/>
        <v>350000</v>
      </c>
      <c r="R286" s="225"/>
      <c r="S286" s="225"/>
      <c r="T286" s="225"/>
      <c r="U286" s="225"/>
      <c r="V286" s="222"/>
      <c r="W286" s="283"/>
    </row>
    <row r="287" spans="1:23" x14ac:dyDescent="0.25">
      <c r="A287" s="232"/>
      <c r="B287" s="215" t="s">
        <v>485</v>
      </c>
      <c r="C287" s="215" t="s">
        <v>404</v>
      </c>
      <c r="D287" s="214"/>
      <c r="E287" s="236" t="s">
        <v>68</v>
      </c>
      <c r="F287" s="236"/>
      <c r="G287" s="216"/>
      <c r="H287" s="216"/>
      <c r="I287" s="217">
        <f>I288</f>
        <v>88637500</v>
      </c>
      <c r="J287" s="217">
        <f>J288</f>
        <v>48831950</v>
      </c>
      <c r="K287" s="217">
        <f>K288</f>
        <v>27546000</v>
      </c>
      <c r="L287" s="217"/>
      <c r="M287" s="217"/>
      <c r="N287" s="217">
        <f>N288</f>
        <v>76377950</v>
      </c>
      <c r="O287" s="217">
        <f>O288</f>
        <v>12259550</v>
      </c>
      <c r="P287" s="217"/>
      <c r="Q287" s="217">
        <f t="shared" ref="Q287:U287" si="221">Q288</f>
        <v>76377950</v>
      </c>
      <c r="R287" s="217">
        <f t="shared" si="221"/>
        <v>0</v>
      </c>
      <c r="S287" s="217">
        <f t="shared" si="221"/>
        <v>0</v>
      </c>
      <c r="T287" s="217">
        <f t="shared" si="221"/>
        <v>0</v>
      </c>
      <c r="U287" s="217">
        <f t="shared" si="221"/>
        <v>0</v>
      </c>
      <c r="V287" s="214"/>
      <c r="W287" s="283"/>
    </row>
    <row r="288" spans="1:23" ht="28.5" x14ac:dyDescent="0.25">
      <c r="A288" s="234"/>
      <c r="B288" s="219" t="s">
        <v>485</v>
      </c>
      <c r="C288" s="219" t="s">
        <v>489</v>
      </c>
      <c r="D288" s="218"/>
      <c r="E288" s="277" t="s">
        <v>490</v>
      </c>
      <c r="F288" s="277"/>
      <c r="G288" s="220"/>
      <c r="H288" s="220"/>
      <c r="I288" s="221">
        <f>SUM(I289:I291)</f>
        <v>88637500</v>
      </c>
      <c r="J288" s="221">
        <f>SUM(J289:J291)</f>
        <v>48831950</v>
      </c>
      <c r="K288" s="221">
        <f>SUM(K289:K291)</f>
        <v>27546000</v>
      </c>
      <c r="L288" s="221"/>
      <c r="M288" s="221"/>
      <c r="N288" s="221">
        <f>SUM(N289:N291)</f>
        <v>76377950</v>
      </c>
      <c r="O288" s="221">
        <f>SUM(O289:O291)</f>
        <v>12259550</v>
      </c>
      <c r="P288" s="221"/>
      <c r="Q288" s="221">
        <f t="shared" ref="Q288:U288" si="222">SUM(Q289:Q291)</f>
        <v>76377950</v>
      </c>
      <c r="R288" s="221">
        <f t="shared" si="222"/>
        <v>0</v>
      </c>
      <c r="S288" s="221">
        <f t="shared" si="222"/>
        <v>0</v>
      </c>
      <c r="T288" s="221">
        <f t="shared" si="222"/>
        <v>0</v>
      </c>
      <c r="U288" s="221">
        <f t="shared" si="222"/>
        <v>0</v>
      </c>
      <c r="V288" s="218"/>
      <c r="W288" s="282"/>
    </row>
    <row r="289" spans="1:23" ht="30" x14ac:dyDescent="0.25">
      <c r="A289" s="233"/>
      <c r="B289" s="223" t="s">
        <v>485</v>
      </c>
      <c r="C289" s="223" t="s">
        <v>491</v>
      </c>
      <c r="D289" s="222"/>
      <c r="E289" s="258" t="s">
        <v>492</v>
      </c>
      <c r="F289" s="258"/>
      <c r="G289" s="224"/>
      <c r="H289" s="224"/>
      <c r="I289" s="225">
        <v>3250000</v>
      </c>
      <c r="J289" s="225">
        <v>3250000</v>
      </c>
      <c r="K289" s="225">
        <f>[1]Nov!I308</f>
        <v>0</v>
      </c>
      <c r="L289" s="225"/>
      <c r="M289" s="225"/>
      <c r="N289" s="225">
        <f t="shared" ref="N289:N291" si="223">J289+K289</f>
        <v>3250000</v>
      </c>
      <c r="O289" s="225">
        <f t="shared" ref="O289:O291" si="224">I289-N289</f>
        <v>0</v>
      </c>
      <c r="P289" s="225"/>
      <c r="Q289" s="225">
        <f>N289</f>
        <v>3250000</v>
      </c>
      <c r="R289" s="225"/>
      <c r="S289" s="225"/>
      <c r="T289" s="225"/>
      <c r="U289" s="225"/>
      <c r="V289" s="222"/>
      <c r="W289" s="283"/>
    </row>
    <row r="290" spans="1:23" ht="30" x14ac:dyDescent="0.25">
      <c r="A290" s="233"/>
      <c r="B290" s="223" t="s">
        <v>485</v>
      </c>
      <c r="C290" s="223" t="s">
        <v>493</v>
      </c>
      <c r="D290" s="222"/>
      <c r="E290" s="258" t="s">
        <v>494</v>
      </c>
      <c r="F290" s="258"/>
      <c r="G290" s="224"/>
      <c r="H290" s="224"/>
      <c r="I290" s="225">
        <v>27546000</v>
      </c>
      <c r="J290" s="225">
        <v>0</v>
      </c>
      <c r="K290" s="225">
        <f>[1]Nov!I309</f>
        <v>27546000</v>
      </c>
      <c r="L290" s="225"/>
      <c r="M290" s="225"/>
      <c r="N290" s="225">
        <f t="shared" si="223"/>
        <v>27546000</v>
      </c>
      <c r="O290" s="225">
        <f t="shared" si="224"/>
        <v>0</v>
      </c>
      <c r="P290" s="225"/>
      <c r="Q290" s="225">
        <f t="shared" ref="Q290:Q291" si="225">N290</f>
        <v>27546000</v>
      </c>
      <c r="R290" s="225"/>
      <c r="S290" s="225"/>
      <c r="T290" s="225"/>
      <c r="U290" s="225"/>
      <c r="V290" s="222"/>
      <c r="W290" s="283"/>
    </row>
    <row r="291" spans="1:23" ht="30" x14ac:dyDescent="0.25">
      <c r="A291" s="243"/>
      <c r="B291" s="244" t="s">
        <v>485</v>
      </c>
      <c r="C291" s="244" t="s">
        <v>495</v>
      </c>
      <c r="D291" s="245"/>
      <c r="E291" s="295" t="s">
        <v>496</v>
      </c>
      <c r="F291" s="295"/>
      <c r="G291" s="246"/>
      <c r="H291" s="246"/>
      <c r="I291" s="247">
        <v>57841500</v>
      </c>
      <c r="J291" s="225">
        <f>45551950+30000</f>
        <v>45581950</v>
      </c>
      <c r="K291" s="225">
        <f>[1]Nov!I310</f>
        <v>0</v>
      </c>
      <c r="L291" s="247"/>
      <c r="M291" s="247"/>
      <c r="N291" s="247">
        <f t="shared" si="223"/>
        <v>45581950</v>
      </c>
      <c r="O291" s="247">
        <f t="shared" si="224"/>
        <v>12259550</v>
      </c>
      <c r="P291" s="247"/>
      <c r="Q291" s="225">
        <f t="shared" si="225"/>
        <v>45581950</v>
      </c>
      <c r="R291" s="247"/>
      <c r="S291" s="247"/>
      <c r="T291" s="247"/>
      <c r="U291" s="247"/>
      <c r="V291" s="245"/>
      <c r="W291" s="283"/>
    </row>
    <row r="292" spans="1:23" x14ac:dyDescent="0.25">
      <c r="A292" s="233"/>
      <c r="B292" s="223"/>
      <c r="C292" s="223"/>
      <c r="D292" s="222"/>
      <c r="E292" s="258"/>
      <c r="F292" s="258"/>
      <c r="G292" s="224"/>
      <c r="H292" s="224"/>
      <c r="I292" s="225"/>
      <c r="J292" s="225"/>
      <c r="K292" s="225"/>
      <c r="L292" s="225"/>
      <c r="M292" s="225"/>
      <c r="N292" s="225"/>
      <c r="O292" s="225"/>
      <c r="P292" s="225"/>
      <c r="Q292" s="225"/>
      <c r="R292" s="225"/>
      <c r="S292" s="225"/>
      <c r="T292" s="225"/>
      <c r="U292" s="225"/>
      <c r="V292" s="222"/>
      <c r="W292" s="282"/>
    </row>
    <row r="293" spans="1:23" x14ac:dyDescent="0.25">
      <c r="A293" s="249"/>
      <c r="B293" s="250" t="s">
        <v>497</v>
      </c>
      <c r="C293" s="249"/>
      <c r="D293" s="252" t="s">
        <v>498</v>
      </c>
      <c r="E293" s="296"/>
      <c r="F293" s="296"/>
      <c r="G293" s="251"/>
      <c r="H293" s="251"/>
      <c r="I293" s="253">
        <f>I294+I307+I316+I329+I337+I342+I351+I358+I363+I372</f>
        <v>85768400</v>
      </c>
      <c r="J293" s="253">
        <f>J294+J307+J316+J329+J337+J342+J351+J358+J363+J372</f>
        <v>8792500</v>
      </c>
      <c r="K293" s="253">
        <f>K294+K307+K316+K329+K337+K342+K351+K358+K363+K372</f>
        <v>72799250</v>
      </c>
      <c r="L293" s="253"/>
      <c r="M293" s="253"/>
      <c r="N293" s="253">
        <f>N294+N307+N316+N329+N337+N342+N351+N358+N363+N372</f>
        <v>81591750</v>
      </c>
      <c r="O293" s="253">
        <f>O294+O307+O316+O329+O337+O342+O351+O358+O363+O372</f>
        <v>4176650</v>
      </c>
      <c r="P293" s="253"/>
      <c r="Q293" s="253">
        <f>Q294+Q307+Q316+Q329+Q337+Q342+Q351+Q358+Q363+Q372</f>
        <v>81591750</v>
      </c>
      <c r="R293" s="253">
        <f>R294+R307+R316+R329+R337+R342+R351+R358+R363+R372</f>
        <v>0</v>
      </c>
      <c r="S293" s="253">
        <f>S294+S307+S316+S329+S337+S342+S351+S358+S363+S372</f>
        <v>0</v>
      </c>
      <c r="T293" s="253">
        <f>T294+T307+T316+T329+T337+T342+T351+T358+T363+T372</f>
        <v>0</v>
      </c>
      <c r="U293" s="253">
        <f>U294+U307+U316+U329+U337+U342+U351+U358+U363+U372</f>
        <v>0</v>
      </c>
      <c r="V293" s="251"/>
      <c r="W293" s="281"/>
    </row>
    <row r="294" spans="1:23" ht="60" x14ac:dyDescent="0.25">
      <c r="A294" s="232"/>
      <c r="B294" s="215" t="s">
        <v>499</v>
      </c>
      <c r="C294" s="232"/>
      <c r="D294" s="214"/>
      <c r="E294" s="236" t="s">
        <v>500</v>
      </c>
      <c r="F294" s="236" t="s">
        <v>704</v>
      </c>
      <c r="G294" s="216"/>
      <c r="H294" s="216"/>
      <c r="I294" s="217">
        <f>I295</f>
        <v>29047400</v>
      </c>
      <c r="J294" s="217">
        <f>J295</f>
        <v>2762500</v>
      </c>
      <c r="K294" s="217">
        <f>K295</f>
        <v>25161000</v>
      </c>
      <c r="L294" s="217"/>
      <c r="M294" s="217"/>
      <c r="N294" s="217">
        <f>N295</f>
        <v>27923500</v>
      </c>
      <c r="O294" s="217">
        <f>O295</f>
        <v>1123900</v>
      </c>
      <c r="P294" s="217"/>
      <c r="Q294" s="217">
        <f t="shared" ref="Q294:U294" si="226">Q295</f>
        <v>27923500</v>
      </c>
      <c r="R294" s="217">
        <f t="shared" si="226"/>
        <v>0</v>
      </c>
      <c r="S294" s="217">
        <f t="shared" si="226"/>
        <v>0</v>
      </c>
      <c r="T294" s="217">
        <f t="shared" si="226"/>
        <v>0</v>
      </c>
      <c r="U294" s="217">
        <f t="shared" si="226"/>
        <v>0</v>
      </c>
      <c r="V294" s="214"/>
      <c r="W294" s="282"/>
    </row>
    <row r="295" spans="1:23" x14ac:dyDescent="0.25">
      <c r="A295" s="232"/>
      <c r="B295" s="215" t="s">
        <v>499</v>
      </c>
      <c r="C295" s="215" t="s">
        <v>359</v>
      </c>
      <c r="D295" s="214"/>
      <c r="E295" s="216" t="s">
        <v>67</v>
      </c>
      <c r="F295" s="236"/>
      <c r="G295" s="216"/>
      <c r="H295" s="216"/>
      <c r="I295" s="217">
        <f>I296+I300+I304</f>
        <v>29047400</v>
      </c>
      <c r="J295" s="217">
        <f>J296+J300+J304</f>
        <v>2762500</v>
      </c>
      <c r="K295" s="217">
        <f>K296+K300+K304</f>
        <v>25161000</v>
      </c>
      <c r="L295" s="217"/>
      <c r="M295" s="217"/>
      <c r="N295" s="217">
        <f>N296+N300+N304</f>
        <v>27923500</v>
      </c>
      <c r="O295" s="217">
        <f>O296+O300+O304</f>
        <v>1123900</v>
      </c>
      <c r="P295" s="217"/>
      <c r="Q295" s="217">
        <f t="shared" ref="Q295:U295" si="227">Q296+Q300+Q304</f>
        <v>27923500</v>
      </c>
      <c r="R295" s="217">
        <f t="shared" si="227"/>
        <v>0</v>
      </c>
      <c r="S295" s="217">
        <f t="shared" si="227"/>
        <v>0</v>
      </c>
      <c r="T295" s="217">
        <f t="shared" si="227"/>
        <v>0</v>
      </c>
      <c r="U295" s="217">
        <f t="shared" si="227"/>
        <v>0</v>
      </c>
      <c r="V295" s="214"/>
      <c r="W295" s="283"/>
    </row>
    <row r="296" spans="1:23" x14ac:dyDescent="0.25">
      <c r="A296" s="234"/>
      <c r="B296" s="219" t="s">
        <v>499</v>
      </c>
      <c r="C296" s="219" t="s">
        <v>360</v>
      </c>
      <c r="D296" s="218"/>
      <c r="E296" s="220" t="s">
        <v>361</v>
      </c>
      <c r="F296" s="277"/>
      <c r="G296" s="220"/>
      <c r="H296" s="220"/>
      <c r="I296" s="221">
        <f>SUM(I297:I299)</f>
        <v>5977400</v>
      </c>
      <c r="J296" s="221">
        <f>SUM(J297:J299)</f>
        <v>975000</v>
      </c>
      <c r="K296" s="221">
        <f>SUM(K297:K299)</f>
        <v>3978500</v>
      </c>
      <c r="L296" s="221"/>
      <c r="M296" s="221"/>
      <c r="N296" s="221">
        <f>SUM(N297:N299)</f>
        <v>4953500</v>
      </c>
      <c r="O296" s="221">
        <f>SUM(O297:O299)</f>
        <v>1023900</v>
      </c>
      <c r="P296" s="221"/>
      <c r="Q296" s="221">
        <f t="shared" ref="Q296:U296" si="228">SUM(Q297:Q299)</f>
        <v>4953500</v>
      </c>
      <c r="R296" s="221">
        <f t="shared" si="228"/>
        <v>0</v>
      </c>
      <c r="S296" s="221">
        <f t="shared" si="228"/>
        <v>0</v>
      </c>
      <c r="T296" s="221">
        <f t="shared" si="228"/>
        <v>0</v>
      </c>
      <c r="U296" s="221">
        <f t="shared" si="228"/>
        <v>0</v>
      </c>
      <c r="V296" s="218"/>
      <c r="W296" s="283"/>
    </row>
    <row r="297" spans="1:23" x14ac:dyDescent="0.25">
      <c r="A297" s="233"/>
      <c r="B297" s="223" t="s">
        <v>499</v>
      </c>
      <c r="C297" s="223" t="s">
        <v>362</v>
      </c>
      <c r="D297" s="222"/>
      <c r="E297" s="224" t="s">
        <v>363</v>
      </c>
      <c r="F297" s="258"/>
      <c r="G297" s="224"/>
      <c r="H297" s="224"/>
      <c r="I297" s="225">
        <v>100000</v>
      </c>
      <c r="J297" s="225">
        <v>0</v>
      </c>
      <c r="K297" s="225">
        <f>[1]Nov!I316</f>
        <v>100000</v>
      </c>
      <c r="L297" s="225"/>
      <c r="M297" s="225"/>
      <c r="N297" s="225">
        <f t="shared" ref="N297:N299" si="229">J297+K297</f>
        <v>100000</v>
      </c>
      <c r="O297" s="225">
        <f t="shared" ref="O297:O299" si="230">I297-N297</f>
        <v>0</v>
      </c>
      <c r="P297" s="225"/>
      <c r="Q297" s="225">
        <f>N297</f>
        <v>100000</v>
      </c>
      <c r="R297" s="225"/>
      <c r="S297" s="225"/>
      <c r="T297" s="225"/>
      <c r="U297" s="225"/>
      <c r="V297" s="222"/>
      <c r="W297" s="282"/>
    </row>
    <row r="298" spans="1:23" x14ac:dyDescent="0.25">
      <c r="A298" s="233"/>
      <c r="B298" s="223" t="s">
        <v>499</v>
      </c>
      <c r="C298" s="223" t="s">
        <v>366</v>
      </c>
      <c r="D298" s="222"/>
      <c r="E298" s="224" t="s">
        <v>367</v>
      </c>
      <c r="F298" s="258"/>
      <c r="G298" s="224"/>
      <c r="H298" s="224"/>
      <c r="I298" s="225">
        <v>114900</v>
      </c>
      <c r="J298" s="225">
        <v>0</v>
      </c>
      <c r="K298" s="225">
        <f>[1]Nov!I317</f>
        <v>114750</v>
      </c>
      <c r="L298" s="225"/>
      <c r="M298" s="225"/>
      <c r="N298" s="225">
        <f t="shared" si="229"/>
        <v>114750</v>
      </c>
      <c r="O298" s="225">
        <f t="shared" si="230"/>
        <v>150</v>
      </c>
      <c r="P298" s="225"/>
      <c r="Q298" s="225">
        <f t="shared" ref="Q298:Q299" si="231">N298</f>
        <v>114750</v>
      </c>
      <c r="R298" s="225"/>
      <c r="S298" s="225"/>
      <c r="T298" s="225"/>
      <c r="U298" s="225"/>
      <c r="V298" s="222"/>
      <c r="W298" s="283"/>
    </row>
    <row r="299" spans="1:23" x14ac:dyDescent="0.25">
      <c r="A299" s="233"/>
      <c r="B299" s="223" t="s">
        <v>499</v>
      </c>
      <c r="C299" s="223" t="s">
        <v>368</v>
      </c>
      <c r="D299" s="222"/>
      <c r="E299" s="224" t="s">
        <v>369</v>
      </c>
      <c r="F299" s="258"/>
      <c r="G299" s="224"/>
      <c r="H299" s="224"/>
      <c r="I299" s="225">
        <v>5762500</v>
      </c>
      <c r="J299" s="225">
        <v>975000</v>
      </c>
      <c r="K299" s="225">
        <f>[1]Nov!I318</f>
        <v>3763750</v>
      </c>
      <c r="L299" s="225"/>
      <c r="M299" s="225"/>
      <c r="N299" s="225">
        <f t="shared" si="229"/>
        <v>4738750</v>
      </c>
      <c r="O299" s="225">
        <f t="shared" si="230"/>
        <v>1023750</v>
      </c>
      <c r="P299" s="225"/>
      <c r="Q299" s="225">
        <f t="shared" si="231"/>
        <v>4738750</v>
      </c>
      <c r="R299" s="225"/>
      <c r="S299" s="225"/>
      <c r="T299" s="225"/>
      <c r="U299" s="225"/>
      <c r="V299" s="222"/>
      <c r="W299" s="283"/>
    </row>
    <row r="300" spans="1:23" x14ac:dyDescent="0.25">
      <c r="A300" s="234"/>
      <c r="B300" s="219" t="s">
        <v>499</v>
      </c>
      <c r="C300" s="219" t="s">
        <v>370</v>
      </c>
      <c r="D300" s="218"/>
      <c r="E300" s="277" t="s">
        <v>81</v>
      </c>
      <c r="F300" s="277"/>
      <c r="G300" s="220"/>
      <c r="H300" s="220"/>
      <c r="I300" s="221">
        <f>SUM(I301:I303)</f>
        <v>22170000</v>
      </c>
      <c r="J300" s="221">
        <f>SUM(J301:J303)</f>
        <v>1787500</v>
      </c>
      <c r="K300" s="221">
        <f>SUM(K301:K303)</f>
        <v>20382500</v>
      </c>
      <c r="L300" s="221"/>
      <c r="M300" s="221"/>
      <c r="N300" s="221">
        <f>SUM(N301:N303)</f>
        <v>22170000</v>
      </c>
      <c r="O300" s="221">
        <f>SUM(O301:O303)</f>
        <v>0</v>
      </c>
      <c r="P300" s="221"/>
      <c r="Q300" s="221">
        <f t="shared" ref="Q300:U300" si="232">SUM(Q301:Q303)</f>
        <v>22170000</v>
      </c>
      <c r="R300" s="221">
        <f t="shared" si="232"/>
        <v>0</v>
      </c>
      <c r="S300" s="221">
        <f t="shared" si="232"/>
        <v>0</v>
      </c>
      <c r="T300" s="221">
        <f t="shared" si="232"/>
        <v>0</v>
      </c>
      <c r="U300" s="221">
        <f t="shared" si="232"/>
        <v>0</v>
      </c>
      <c r="V300" s="218"/>
      <c r="W300" s="283"/>
    </row>
    <row r="301" spans="1:23" ht="30" x14ac:dyDescent="0.25">
      <c r="A301" s="233"/>
      <c r="B301" s="223" t="s">
        <v>499</v>
      </c>
      <c r="C301" s="223" t="s">
        <v>476</v>
      </c>
      <c r="D301" s="222"/>
      <c r="E301" s="258" t="s">
        <v>477</v>
      </c>
      <c r="F301" s="258"/>
      <c r="G301" s="224"/>
      <c r="H301" s="224"/>
      <c r="I301" s="225">
        <v>450000</v>
      </c>
      <c r="J301" s="225">
        <v>0</v>
      </c>
      <c r="K301" s="225">
        <f>[1]Nov!I320</f>
        <v>450000</v>
      </c>
      <c r="L301" s="225"/>
      <c r="M301" s="225"/>
      <c r="N301" s="225">
        <f t="shared" ref="N301:N303" si="233">J301+K301</f>
        <v>450000</v>
      </c>
      <c r="O301" s="225">
        <f t="shared" ref="O301:O303" si="234">I301-N301</f>
        <v>0</v>
      </c>
      <c r="P301" s="225"/>
      <c r="Q301" s="225">
        <f>N301</f>
        <v>450000</v>
      </c>
      <c r="R301" s="225"/>
      <c r="S301" s="225"/>
      <c r="T301" s="225"/>
      <c r="U301" s="225"/>
      <c r="V301" s="222"/>
      <c r="W301" s="281"/>
    </row>
    <row r="302" spans="1:23" ht="30" x14ac:dyDescent="0.25">
      <c r="A302" s="233"/>
      <c r="B302" s="223" t="s">
        <v>499</v>
      </c>
      <c r="C302" s="223" t="s">
        <v>478</v>
      </c>
      <c r="D302" s="222"/>
      <c r="E302" s="258" t="s">
        <v>479</v>
      </c>
      <c r="F302" s="258"/>
      <c r="G302" s="224"/>
      <c r="H302" s="224"/>
      <c r="I302" s="225">
        <v>270000</v>
      </c>
      <c r="J302" s="225">
        <v>0</v>
      </c>
      <c r="K302" s="225">
        <f>[1]Nov!I321</f>
        <v>270000</v>
      </c>
      <c r="L302" s="225"/>
      <c r="M302" s="225"/>
      <c r="N302" s="225">
        <f t="shared" si="233"/>
        <v>270000</v>
      </c>
      <c r="O302" s="225">
        <f t="shared" si="234"/>
        <v>0</v>
      </c>
      <c r="P302" s="225"/>
      <c r="Q302" s="225">
        <f t="shared" ref="Q302:Q303" si="235">N302</f>
        <v>270000</v>
      </c>
      <c r="R302" s="225"/>
      <c r="S302" s="225"/>
      <c r="T302" s="225"/>
      <c r="U302" s="225"/>
      <c r="V302" s="222"/>
      <c r="W302" s="281"/>
    </row>
    <row r="303" spans="1:23" x14ac:dyDescent="0.25">
      <c r="A303" s="233"/>
      <c r="B303" s="223" t="s">
        <v>499</v>
      </c>
      <c r="C303" s="223" t="s">
        <v>398</v>
      </c>
      <c r="D303" s="222"/>
      <c r="E303" s="258" t="s">
        <v>399</v>
      </c>
      <c r="F303" s="258"/>
      <c r="G303" s="224"/>
      <c r="H303" s="224"/>
      <c r="I303" s="225">
        <v>21450000</v>
      </c>
      <c r="J303" s="225">
        <v>1787500</v>
      </c>
      <c r="K303" s="225">
        <f>[1]Nov!I322</f>
        <v>19662500</v>
      </c>
      <c r="L303" s="225"/>
      <c r="M303" s="225"/>
      <c r="N303" s="225">
        <f t="shared" si="233"/>
        <v>21450000</v>
      </c>
      <c r="O303" s="225">
        <f t="shared" si="234"/>
        <v>0</v>
      </c>
      <c r="P303" s="225"/>
      <c r="Q303" s="225">
        <f t="shared" si="235"/>
        <v>21450000</v>
      </c>
      <c r="R303" s="225"/>
      <c r="S303" s="225"/>
      <c r="T303" s="225"/>
      <c r="U303" s="225"/>
      <c r="V303" s="222"/>
      <c r="W303" s="282"/>
    </row>
    <row r="304" spans="1:23" ht="28.5" x14ac:dyDescent="0.25">
      <c r="A304" s="234"/>
      <c r="B304" s="219" t="s">
        <v>499</v>
      </c>
      <c r="C304" s="219" t="s">
        <v>460</v>
      </c>
      <c r="D304" s="218"/>
      <c r="E304" s="277" t="s">
        <v>461</v>
      </c>
      <c r="F304" s="277"/>
      <c r="G304" s="220"/>
      <c r="H304" s="220"/>
      <c r="I304" s="221">
        <f>SUM(I305)</f>
        <v>900000</v>
      </c>
      <c r="J304" s="221">
        <f>SUM(J305)</f>
        <v>0</v>
      </c>
      <c r="K304" s="221">
        <f>SUM(K305)</f>
        <v>800000</v>
      </c>
      <c r="L304" s="221"/>
      <c r="M304" s="221"/>
      <c r="N304" s="221">
        <f>SUM(N305)</f>
        <v>800000</v>
      </c>
      <c r="O304" s="221">
        <f>SUM(O305)</f>
        <v>100000</v>
      </c>
      <c r="P304" s="221"/>
      <c r="Q304" s="221">
        <f t="shared" ref="Q304:U304" si="236">SUM(Q305)</f>
        <v>800000</v>
      </c>
      <c r="R304" s="221">
        <f t="shared" si="236"/>
        <v>0</v>
      </c>
      <c r="S304" s="221">
        <f t="shared" si="236"/>
        <v>0</v>
      </c>
      <c r="T304" s="221">
        <f t="shared" si="236"/>
        <v>0</v>
      </c>
      <c r="U304" s="221">
        <f t="shared" si="236"/>
        <v>0</v>
      </c>
      <c r="V304" s="218"/>
      <c r="W304" s="283"/>
    </row>
    <row r="305" spans="1:23" ht="30" x14ac:dyDescent="0.25">
      <c r="A305" s="233"/>
      <c r="B305" s="223" t="s">
        <v>499</v>
      </c>
      <c r="C305" s="223" t="s">
        <v>462</v>
      </c>
      <c r="D305" s="222"/>
      <c r="E305" s="258" t="s">
        <v>463</v>
      </c>
      <c r="F305" s="258"/>
      <c r="G305" s="224"/>
      <c r="H305" s="224"/>
      <c r="I305" s="225">
        <v>900000</v>
      </c>
      <c r="J305" s="225">
        <v>0</v>
      </c>
      <c r="K305" s="225">
        <f>[1]Nov!I324</f>
        <v>800000</v>
      </c>
      <c r="L305" s="225"/>
      <c r="M305" s="225"/>
      <c r="N305" s="225">
        <f t="shared" ref="N305" si="237">J305+K305</f>
        <v>800000</v>
      </c>
      <c r="O305" s="225">
        <f t="shared" ref="O305" si="238">I305-N305</f>
        <v>100000</v>
      </c>
      <c r="P305" s="225"/>
      <c r="Q305" s="225">
        <f>N305</f>
        <v>800000</v>
      </c>
      <c r="R305" s="225"/>
      <c r="S305" s="225"/>
      <c r="T305" s="225"/>
      <c r="U305" s="225"/>
      <c r="V305" s="222"/>
      <c r="W305" s="283"/>
    </row>
    <row r="306" spans="1:23" x14ac:dyDescent="0.25">
      <c r="A306" s="233"/>
      <c r="B306" s="223"/>
      <c r="C306" s="223"/>
      <c r="D306" s="222"/>
      <c r="E306" s="258"/>
      <c r="F306" s="258"/>
      <c r="G306" s="224"/>
      <c r="H306" s="224"/>
      <c r="I306" s="225"/>
      <c r="J306" s="225"/>
      <c r="K306" s="225"/>
      <c r="L306" s="225"/>
      <c r="M306" s="225"/>
      <c r="N306" s="225"/>
      <c r="O306" s="225"/>
      <c r="P306" s="225"/>
      <c r="Q306" s="225"/>
      <c r="R306" s="225"/>
      <c r="S306" s="225"/>
      <c r="T306" s="225"/>
      <c r="U306" s="225"/>
      <c r="V306" s="222"/>
      <c r="W306" s="283"/>
    </row>
    <row r="307" spans="1:23" ht="60" x14ac:dyDescent="0.25">
      <c r="A307" s="232"/>
      <c r="B307" s="242" t="s">
        <v>501</v>
      </c>
      <c r="C307" s="232"/>
      <c r="D307" s="214"/>
      <c r="E307" s="236" t="s">
        <v>502</v>
      </c>
      <c r="F307" s="236" t="s">
        <v>705</v>
      </c>
      <c r="G307" s="236"/>
      <c r="H307" s="236"/>
      <c r="I307" s="237">
        <f>I308</f>
        <v>2835000</v>
      </c>
      <c r="J307" s="237">
        <f>J308</f>
        <v>0</v>
      </c>
      <c r="K307" s="237">
        <f>K308</f>
        <v>2835000</v>
      </c>
      <c r="L307" s="237"/>
      <c r="M307" s="237"/>
      <c r="N307" s="237">
        <f>N308</f>
        <v>2835000</v>
      </c>
      <c r="O307" s="237">
        <f>O308</f>
        <v>0</v>
      </c>
      <c r="P307" s="237"/>
      <c r="Q307" s="237">
        <f t="shared" ref="Q307:U307" si="239">Q308</f>
        <v>2835000</v>
      </c>
      <c r="R307" s="237">
        <f t="shared" si="239"/>
        <v>0</v>
      </c>
      <c r="S307" s="237">
        <f t="shared" si="239"/>
        <v>0</v>
      </c>
      <c r="T307" s="237">
        <f t="shared" si="239"/>
        <v>0</v>
      </c>
      <c r="U307" s="237">
        <f t="shared" si="239"/>
        <v>0</v>
      </c>
      <c r="V307" s="214"/>
      <c r="W307" s="282"/>
    </row>
    <row r="308" spans="1:23" x14ac:dyDescent="0.25">
      <c r="A308" s="232"/>
      <c r="B308" s="215" t="s">
        <v>501</v>
      </c>
      <c r="C308" s="215" t="s">
        <v>359</v>
      </c>
      <c r="D308" s="214"/>
      <c r="E308" s="236" t="s">
        <v>67</v>
      </c>
      <c r="F308" s="236"/>
      <c r="G308" s="216"/>
      <c r="H308" s="216"/>
      <c r="I308" s="217">
        <f>I309+I312</f>
        <v>2835000</v>
      </c>
      <c r="J308" s="217">
        <f>J309+J312</f>
        <v>0</v>
      </c>
      <c r="K308" s="217">
        <f>K309+K312</f>
        <v>2835000</v>
      </c>
      <c r="L308" s="217"/>
      <c r="M308" s="217"/>
      <c r="N308" s="217">
        <f>N309+N312</f>
        <v>2835000</v>
      </c>
      <c r="O308" s="217">
        <f>O309+O312</f>
        <v>0</v>
      </c>
      <c r="P308" s="217"/>
      <c r="Q308" s="217">
        <f t="shared" ref="Q308:U308" si="240">Q309+Q312</f>
        <v>2835000</v>
      </c>
      <c r="R308" s="217">
        <f t="shared" si="240"/>
        <v>0</v>
      </c>
      <c r="S308" s="217">
        <f t="shared" si="240"/>
        <v>0</v>
      </c>
      <c r="T308" s="217">
        <f t="shared" si="240"/>
        <v>0</v>
      </c>
      <c r="U308" s="217">
        <f t="shared" si="240"/>
        <v>0</v>
      </c>
      <c r="V308" s="214"/>
      <c r="W308" s="283"/>
    </row>
    <row r="309" spans="1:23" x14ac:dyDescent="0.25">
      <c r="A309" s="234"/>
      <c r="B309" s="219" t="s">
        <v>501</v>
      </c>
      <c r="C309" s="219" t="s">
        <v>360</v>
      </c>
      <c r="D309" s="218"/>
      <c r="E309" s="277" t="s">
        <v>361</v>
      </c>
      <c r="F309" s="277"/>
      <c r="G309" s="220"/>
      <c r="H309" s="220"/>
      <c r="I309" s="221">
        <f>SUM(I310:I311)</f>
        <v>1410000</v>
      </c>
      <c r="J309" s="221">
        <f>SUM(J310:J311)</f>
        <v>0</v>
      </c>
      <c r="K309" s="221">
        <f>SUM(K310:K311)</f>
        <v>1410000</v>
      </c>
      <c r="L309" s="221"/>
      <c r="M309" s="221"/>
      <c r="N309" s="221">
        <f>SUM(N310:N311)</f>
        <v>1410000</v>
      </c>
      <c r="O309" s="221">
        <f>SUM(O310:O311)</f>
        <v>0</v>
      </c>
      <c r="P309" s="221"/>
      <c r="Q309" s="221">
        <f t="shared" ref="Q309:U309" si="241">SUM(Q310:Q311)</f>
        <v>1410000</v>
      </c>
      <c r="R309" s="221">
        <f t="shared" si="241"/>
        <v>0</v>
      </c>
      <c r="S309" s="221">
        <f t="shared" si="241"/>
        <v>0</v>
      </c>
      <c r="T309" s="221">
        <f t="shared" si="241"/>
        <v>0</v>
      </c>
      <c r="U309" s="221">
        <f t="shared" si="241"/>
        <v>0</v>
      </c>
      <c r="V309" s="218"/>
      <c r="W309" s="283"/>
    </row>
    <row r="310" spans="1:23" ht="30" x14ac:dyDescent="0.25">
      <c r="A310" s="233"/>
      <c r="B310" s="223" t="s">
        <v>501</v>
      </c>
      <c r="C310" s="223" t="s">
        <v>366</v>
      </c>
      <c r="D310" s="222"/>
      <c r="E310" s="258" t="s">
        <v>367</v>
      </c>
      <c r="F310" s="258"/>
      <c r="G310" s="224"/>
      <c r="H310" s="224"/>
      <c r="I310" s="225">
        <v>50000</v>
      </c>
      <c r="J310" s="225">
        <v>0</v>
      </c>
      <c r="K310" s="225">
        <f>[1]Nov!I329</f>
        <v>50000</v>
      </c>
      <c r="L310" s="225"/>
      <c r="M310" s="225"/>
      <c r="N310" s="225">
        <f t="shared" ref="N310:N311" si="242">J310+K310</f>
        <v>50000</v>
      </c>
      <c r="O310" s="225">
        <f t="shared" ref="O310:O311" si="243">I310-N310</f>
        <v>0</v>
      </c>
      <c r="P310" s="225"/>
      <c r="Q310" s="225">
        <f>N310</f>
        <v>50000</v>
      </c>
      <c r="R310" s="225"/>
      <c r="S310" s="225"/>
      <c r="T310" s="225"/>
      <c r="U310" s="225"/>
      <c r="V310" s="222"/>
      <c r="W310" s="281"/>
    </row>
    <row r="311" spans="1:23" ht="30" x14ac:dyDescent="0.25">
      <c r="A311" s="233"/>
      <c r="B311" s="223" t="s">
        <v>501</v>
      </c>
      <c r="C311" s="223" t="s">
        <v>368</v>
      </c>
      <c r="D311" s="222"/>
      <c r="E311" s="258" t="s">
        <v>369</v>
      </c>
      <c r="F311" s="258"/>
      <c r="G311" s="224"/>
      <c r="H311" s="224"/>
      <c r="I311" s="225">
        <v>1360000</v>
      </c>
      <c r="J311" s="225">
        <v>0</v>
      </c>
      <c r="K311" s="225">
        <f>[1]Nov!I330</f>
        <v>1360000</v>
      </c>
      <c r="L311" s="225"/>
      <c r="M311" s="225"/>
      <c r="N311" s="225">
        <f t="shared" si="242"/>
        <v>1360000</v>
      </c>
      <c r="O311" s="225">
        <f t="shared" si="243"/>
        <v>0</v>
      </c>
      <c r="P311" s="225"/>
      <c r="Q311" s="225">
        <f>N311</f>
        <v>1360000</v>
      </c>
      <c r="R311" s="225"/>
      <c r="S311" s="225"/>
      <c r="T311" s="225"/>
      <c r="U311" s="225"/>
      <c r="V311" s="222"/>
      <c r="W311" s="282"/>
    </row>
    <row r="312" spans="1:23" x14ac:dyDescent="0.25">
      <c r="A312" s="234"/>
      <c r="B312" s="219" t="s">
        <v>501</v>
      </c>
      <c r="C312" s="219" t="s">
        <v>370</v>
      </c>
      <c r="D312" s="218"/>
      <c r="E312" s="277" t="s">
        <v>81</v>
      </c>
      <c r="F312" s="277"/>
      <c r="G312" s="220"/>
      <c r="H312" s="220"/>
      <c r="I312" s="221">
        <f>SUM(I313:I314)</f>
        <v>1425000</v>
      </c>
      <c r="J312" s="221">
        <f>SUM(J313:J314)</f>
        <v>0</v>
      </c>
      <c r="K312" s="221">
        <f>SUM(K313:K314)</f>
        <v>1425000</v>
      </c>
      <c r="L312" s="221"/>
      <c r="M312" s="221"/>
      <c r="N312" s="221">
        <f>SUM(N313:N314)</f>
        <v>1425000</v>
      </c>
      <c r="O312" s="221">
        <f>SUM(O313:O314)</f>
        <v>0</v>
      </c>
      <c r="P312" s="221"/>
      <c r="Q312" s="221">
        <f t="shared" ref="Q312:U312" si="244">SUM(Q313:Q314)</f>
        <v>1425000</v>
      </c>
      <c r="R312" s="221">
        <f t="shared" si="244"/>
        <v>0</v>
      </c>
      <c r="S312" s="221">
        <f t="shared" si="244"/>
        <v>0</v>
      </c>
      <c r="T312" s="221">
        <f t="shared" si="244"/>
        <v>0</v>
      </c>
      <c r="U312" s="221">
        <f t="shared" si="244"/>
        <v>0</v>
      </c>
      <c r="V312" s="218"/>
      <c r="W312" s="283"/>
    </row>
    <row r="313" spans="1:23" ht="30" x14ac:dyDescent="0.25">
      <c r="A313" s="233"/>
      <c r="B313" s="223" t="s">
        <v>501</v>
      </c>
      <c r="C313" s="223" t="s">
        <v>476</v>
      </c>
      <c r="D313" s="222"/>
      <c r="E313" s="258" t="s">
        <v>477</v>
      </c>
      <c r="F313" s="258"/>
      <c r="G313" s="224"/>
      <c r="H313" s="224"/>
      <c r="I313" s="225">
        <v>450000</v>
      </c>
      <c r="J313" s="225">
        <v>0</v>
      </c>
      <c r="K313" s="225">
        <f>[1]Nov!I332</f>
        <v>450000</v>
      </c>
      <c r="L313" s="225"/>
      <c r="M313" s="225"/>
      <c r="N313" s="225">
        <f t="shared" ref="N313:N314" si="245">J313+K313</f>
        <v>450000</v>
      </c>
      <c r="O313" s="225">
        <f t="shared" ref="O313:O314" si="246">I313-N313</f>
        <v>0</v>
      </c>
      <c r="P313" s="225"/>
      <c r="Q313" s="225">
        <f>N313</f>
        <v>450000</v>
      </c>
      <c r="R313" s="225"/>
      <c r="S313" s="225"/>
      <c r="T313" s="225"/>
      <c r="U313" s="225"/>
      <c r="V313" s="222"/>
      <c r="W313" s="283"/>
    </row>
    <row r="314" spans="1:23" ht="30" x14ac:dyDescent="0.25">
      <c r="A314" s="243"/>
      <c r="B314" s="244" t="s">
        <v>501</v>
      </c>
      <c r="C314" s="244" t="s">
        <v>478</v>
      </c>
      <c r="D314" s="245"/>
      <c r="E314" s="295" t="s">
        <v>479</v>
      </c>
      <c r="F314" s="295"/>
      <c r="G314" s="246"/>
      <c r="H314" s="246"/>
      <c r="I314" s="247">
        <v>975000</v>
      </c>
      <c r="J314" s="247">
        <v>0</v>
      </c>
      <c r="K314" s="225">
        <f>[1]Nov!I333</f>
        <v>975000</v>
      </c>
      <c r="L314" s="247"/>
      <c r="M314" s="247"/>
      <c r="N314" s="247">
        <f t="shared" si="245"/>
        <v>975000</v>
      </c>
      <c r="O314" s="247">
        <f t="shared" si="246"/>
        <v>0</v>
      </c>
      <c r="P314" s="247"/>
      <c r="Q314" s="225">
        <f>N314</f>
        <v>975000</v>
      </c>
      <c r="R314" s="247"/>
      <c r="S314" s="247"/>
      <c r="T314" s="247"/>
      <c r="U314" s="247"/>
      <c r="V314" s="245"/>
      <c r="W314" s="281"/>
    </row>
    <row r="315" spans="1:23" x14ac:dyDescent="0.25">
      <c r="A315" s="264"/>
      <c r="B315" s="289"/>
      <c r="C315" s="289"/>
      <c r="D315" s="265"/>
      <c r="E315" s="290"/>
      <c r="F315" s="320"/>
      <c r="G315" s="290"/>
      <c r="H315" s="290"/>
      <c r="I315" s="270"/>
      <c r="J315" s="270"/>
      <c r="K315" s="270"/>
      <c r="L315" s="270"/>
      <c r="M315" s="270"/>
      <c r="N315" s="270"/>
      <c r="O315" s="270"/>
      <c r="P315" s="270"/>
      <c r="Q315" s="270"/>
      <c r="R315" s="270"/>
      <c r="S315" s="270"/>
      <c r="T315" s="270"/>
      <c r="U315" s="270"/>
      <c r="V315" s="265"/>
      <c r="W315" s="281"/>
    </row>
    <row r="316" spans="1:23" ht="42" customHeight="1" x14ac:dyDescent="0.25">
      <c r="A316" s="249"/>
      <c r="B316" s="250" t="s">
        <v>503</v>
      </c>
      <c r="C316" s="249"/>
      <c r="D316" s="251"/>
      <c r="E316" s="252" t="s">
        <v>504</v>
      </c>
      <c r="F316" s="320" t="s">
        <v>706</v>
      </c>
      <c r="G316" s="252"/>
      <c r="H316" s="252"/>
      <c r="I316" s="253">
        <f>I317+I325</f>
        <v>18526500</v>
      </c>
      <c r="J316" s="253">
        <f>J317+J325</f>
        <v>2131500</v>
      </c>
      <c r="K316" s="253">
        <f>K317+K325</f>
        <v>13974500</v>
      </c>
      <c r="L316" s="253"/>
      <c r="M316" s="253"/>
      <c r="N316" s="253">
        <f>N317+N325</f>
        <v>16106000</v>
      </c>
      <c r="O316" s="253">
        <f>O317+O325</f>
        <v>2420500</v>
      </c>
      <c r="P316" s="253"/>
      <c r="Q316" s="253">
        <f t="shared" ref="Q316:U316" si="247">Q317+Q325</f>
        <v>16106000</v>
      </c>
      <c r="R316" s="253">
        <f t="shared" si="247"/>
        <v>0</v>
      </c>
      <c r="S316" s="253">
        <f t="shared" si="247"/>
        <v>0</v>
      </c>
      <c r="T316" s="253">
        <f t="shared" si="247"/>
        <v>0</v>
      </c>
      <c r="U316" s="253">
        <f t="shared" si="247"/>
        <v>0</v>
      </c>
      <c r="V316" s="251"/>
      <c r="W316" s="283"/>
    </row>
    <row r="317" spans="1:23" x14ac:dyDescent="0.25">
      <c r="A317" s="232"/>
      <c r="B317" s="215" t="s">
        <v>503</v>
      </c>
      <c r="C317" s="215" t="s">
        <v>359</v>
      </c>
      <c r="D317" s="214"/>
      <c r="E317" s="216" t="s">
        <v>67</v>
      </c>
      <c r="F317" s="236"/>
      <c r="G317" s="216"/>
      <c r="H317" s="216"/>
      <c r="I317" s="217">
        <f>I318+I322</f>
        <v>9676500</v>
      </c>
      <c r="J317" s="217">
        <f>J318+J322</f>
        <v>2131500</v>
      </c>
      <c r="K317" s="217">
        <f>K318+K322</f>
        <v>5124500</v>
      </c>
      <c r="L317" s="217"/>
      <c r="M317" s="217"/>
      <c r="N317" s="217">
        <f>N318+N322</f>
        <v>7256000</v>
      </c>
      <c r="O317" s="217">
        <f>O318+O322</f>
        <v>2420500</v>
      </c>
      <c r="P317" s="217"/>
      <c r="Q317" s="217">
        <f t="shared" ref="Q317:U317" si="248">Q318+Q322</f>
        <v>7256000</v>
      </c>
      <c r="R317" s="217">
        <f t="shared" si="248"/>
        <v>0</v>
      </c>
      <c r="S317" s="217">
        <f t="shared" si="248"/>
        <v>0</v>
      </c>
      <c r="T317" s="217">
        <f t="shared" si="248"/>
        <v>0</v>
      </c>
      <c r="U317" s="217">
        <f t="shared" si="248"/>
        <v>0</v>
      </c>
      <c r="V317" s="214"/>
      <c r="W317" s="283"/>
    </row>
    <row r="318" spans="1:23" x14ac:dyDescent="0.25">
      <c r="A318" s="234"/>
      <c r="B318" s="219" t="s">
        <v>503</v>
      </c>
      <c r="C318" s="219" t="s">
        <v>360</v>
      </c>
      <c r="D318" s="218"/>
      <c r="E318" s="220" t="s">
        <v>361</v>
      </c>
      <c r="F318" s="277"/>
      <c r="G318" s="220"/>
      <c r="H318" s="220"/>
      <c r="I318" s="221">
        <f>SUM(I319:I321)</f>
        <v>8026500</v>
      </c>
      <c r="J318" s="221">
        <f>SUM(J319:J321)</f>
        <v>1331500</v>
      </c>
      <c r="K318" s="221">
        <f>SUM(K319:K321)</f>
        <v>4724500</v>
      </c>
      <c r="L318" s="221"/>
      <c r="M318" s="221"/>
      <c r="N318" s="221">
        <f>SUM(N319:N321)</f>
        <v>6056000</v>
      </c>
      <c r="O318" s="221">
        <f>SUM(O319:O321)</f>
        <v>1970500</v>
      </c>
      <c r="P318" s="221"/>
      <c r="Q318" s="221">
        <f t="shared" ref="Q318:U318" si="249">SUM(Q319:Q321)</f>
        <v>6056000</v>
      </c>
      <c r="R318" s="221">
        <f t="shared" si="249"/>
        <v>0</v>
      </c>
      <c r="S318" s="221">
        <f t="shared" si="249"/>
        <v>0</v>
      </c>
      <c r="T318" s="221">
        <f t="shared" si="249"/>
        <v>0</v>
      </c>
      <c r="U318" s="221">
        <f t="shared" si="249"/>
        <v>0</v>
      </c>
      <c r="V318" s="218"/>
      <c r="W318" s="283"/>
    </row>
    <row r="319" spans="1:23" x14ac:dyDescent="0.25">
      <c r="A319" s="233"/>
      <c r="B319" s="223" t="s">
        <v>503</v>
      </c>
      <c r="C319" s="223" t="s">
        <v>362</v>
      </c>
      <c r="D319" s="222"/>
      <c r="E319" s="224" t="s">
        <v>363</v>
      </c>
      <c r="F319" s="258"/>
      <c r="G319" s="224"/>
      <c r="H319" s="224"/>
      <c r="I319" s="225">
        <v>300000</v>
      </c>
      <c r="J319" s="225">
        <v>0</v>
      </c>
      <c r="K319" s="225">
        <f>[1]Nov!I341</f>
        <v>300000</v>
      </c>
      <c r="L319" s="225"/>
      <c r="M319" s="225"/>
      <c r="N319" s="225">
        <f t="shared" ref="N319:N321" si="250">J319+K319</f>
        <v>300000</v>
      </c>
      <c r="O319" s="225">
        <f t="shared" ref="O319:O321" si="251">I319-N319</f>
        <v>0</v>
      </c>
      <c r="P319" s="225"/>
      <c r="Q319" s="225">
        <f>N319</f>
        <v>300000</v>
      </c>
      <c r="R319" s="225"/>
      <c r="S319" s="225"/>
      <c r="T319" s="225"/>
      <c r="U319" s="225"/>
      <c r="V319" s="222"/>
      <c r="W319" s="283"/>
    </row>
    <row r="320" spans="1:23" x14ac:dyDescent="0.25">
      <c r="A320" s="233"/>
      <c r="B320" s="223" t="s">
        <v>503</v>
      </c>
      <c r="C320" s="223" t="s">
        <v>366</v>
      </c>
      <c r="D320" s="222"/>
      <c r="E320" s="224" t="s">
        <v>367</v>
      </c>
      <c r="F320" s="258"/>
      <c r="G320" s="224"/>
      <c r="H320" s="224"/>
      <c r="I320" s="225">
        <v>531500</v>
      </c>
      <c r="J320" s="225">
        <v>311500</v>
      </c>
      <c r="K320" s="225">
        <f>[1]Nov!I342</f>
        <v>220000</v>
      </c>
      <c r="L320" s="225"/>
      <c r="M320" s="225"/>
      <c r="N320" s="225">
        <f t="shared" si="250"/>
        <v>531500</v>
      </c>
      <c r="O320" s="225">
        <f t="shared" si="251"/>
        <v>0</v>
      </c>
      <c r="P320" s="225"/>
      <c r="Q320" s="225">
        <f t="shared" ref="Q320:Q321" si="252">N320</f>
        <v>531500</v>
      </c>
      <c r="R320" s="225"/>
      <c r="S320" s="225"/>
      <c r="T320" s="225"/>
      <c r="U320" s="225"/>
      <c r="V320" s="222"/>
      <c r="W320" s="283"/>
    </row>
    <row r="321" spans="1:23" x14ac:dyDescent="0.25">
      <c r="A321" s="233"/>
      <c r="B321" s="223" t="s">
        <v>503</v>
      </c>
      <c r="C321" s="223" t="s">
        <v>368</v>
      </c>
      <c r="D321" s="222"/>
      <c r="E321" s="224" t="s">
        <v>369</v>
      </c>
      <c r="F321" s="258"/>
      <c r="G321" s="224"/>
      <c r="H321" s="224"/>
      <c r="I321" s="225">
        <v>7195000</v>
      </c>
      <c r="J321" s="225">
        <f>330000+690000</f>
        <v>1020000</v>
      </c>
      <c r="K321" s="225">
        <f>[1]Nov!I343</f>
        <v>4204500</v>
      </c>
      <c r="L321" s="225"/>
      <c r="M321" s="225"/>
      <c r="N321" s="225">
        <f t="shared" si="250"/>
        <v>5224500</v>
      </c>
      <c r="O321" s="225">
        <f t="shared" si="251"/>
        <v>1970500</v>
      </c>
      <c r="P321" s="225"/>
      <c r="Q321" s="225">
        <f t="shared" si="252"/>
        <v>5224500</v>
      </c>
      <c r="R321" s="225"/>
      <c r="S321" s="225"/>
      <c r="T321" s="225"/>
      <c r="U321" s="225"/>
      <c r="V321" s="222"/>
      <c r="W321" s="283"/>
    </row>
    <row r="322" spans="1:23" x14ac:dyDescent="0.25">
      <c r="A322" s="234"/>
      <c r="B322" s="219" t="s">
        <v>503</v>
      </c>
      <c r="C322" s="219" t="s">
        <v>370</v>
      </c>
      <c r="D322" s="218"/>
      <c r="E322" s="220" t="s">
        <v>81</v>
      </c>
      <c r="F322" s="277"/>
      <c r="G322" s="220"/>
      <c r="H322" s="220"/>
      <c r="I322" s="221">
        <f>SUM(I323:I324)</f>
        <v>1650000</v>
      </c>
      <c r="J322" s="221">
        <f>SUM(J323:J324)</f>
        <v>800000</v>
      </c>
      <c r="K322" s="221">
        <f>SUM(K323:K324)</f>
        <v>400000</v>
      </c>
      <c r="L322" s="221"/>
      <c r="M322" s="221"/>
      <c r="N322" s="221">
        <f>SUM(N323:N324)</f>
        <v>1200000</v>
      </c>
      <c r="O322" s="221">
        <f>SUM(O323:O324)</f>
        <v>450000</v>
      </c>
      <c r="P322" s="221"/>
      <c r="Q322" s="221">
        <f t="shared" ref="Q322:U322" si="253">SUM(Q323:Q324)</f>
        <v>1200000</v>
      </c>
      <c r="R322" s="221">
        <f t="shared" si="253"/>
        <v>0</v>
      </c>
      <c r="S322" s="221">
        <f t="shared" si="253"/>
        <v>0</v>
      </c>
      <c r="T322" s="221">
        <f t="shared" si="253"/>
        <v>0</v>
      </c>
      <c r="U322" s="221">
        <f t="shared" si="253"/>
        <v>0</v>
      </c>
      <c r="V322" s="218"/>
      <c r="W322" s="281"/>
    </row>
    <row r="323" spans="1:23" ht="30" x14ac:dyDescent="0.25">
      <c r="A323" s="233"/>
      <c r="B323" s="223" t="s">
        <v>503</v>
      </c>
      <c r="C323" s="223" t="s">
        <v>476</v>
      </c>
      <c r="D323" s="222"/>
      <c r="E323" s="258" t="s">
        <v>477</v>
      </c>
      <c r="F323" s="258"/>
      <c r="G323" s="224"/>
      <c r="H323" s="224"/>
      <c r="I323" s="225">
        <v>450000</v>
      </c>
      <c r="J323" s="225">
        <v>0</v>
      </c>
      <c r="K323" s="225">
        <f>[1]Nov!I345</f>
        <v>0</v>
      </c>
      <c r="L323" s="225"/>
      <c r="M323" s="225"/>
      <c r="N323" s="225">
        <f t="shared" ref="N323:N324" si="254">J323+K323</f>
        <v>0</v>
      </c>
      <c r="O323" s="225">
        <f t="shared" ref="O323:O324" si="255">I323-N323</f>
        <v>450000</v>
      </c>
      <c r="P323" s="225"/>
      <c r="Q323" s="225">
        <f>N323</f>
        <v>0</v>
      </c>
      <c r="R323" s="225"/>
      <c r="S323" s="225"/>
      <c r="T323" s="225"/>
      <c r="U323" s="225"/>
      <c r="V323" s="222"/>
      <c r="W323" s="281"/>
    </row>
    <row r="324" spans="1:23" x14ac:dyDescent="0.25">
      <c r="A324" s="233"/>
      <c r="B324" s="223" t="s">
        <v>503</v>
      </c>
      <c r="C324" s="223" t="s">
        <v>398</v>
      </c>
      <c r="D324" s="222"/>
      <c r="E324" s="258" t="s">
        <v>399</v>
      </c>
      <c r="F324" s="258"/>
      <c r="G324" s="224"/>
      <c r="H324" s="224"/>
      <c r="I324" s="225">
        <v>1200000</v>
      </c>
      <c r="J324" s="225">
        <v>800000</v>
      </c>
      <c r="K324" s="225">
        <f>[1]Nov!I346</f>
        <v>400000</v>
      </c>
      <c r="L324" s="225"/>
      <c r="M324" s="225"/>
      <c r="N324" s="225">
        <f t="shared" si="254"/>
        <v>1200000</v>
      </c>
      <c r="O324" s="225">
        <f t="shared" si="255"/>
        <v>0</v>
      </c>
      <c r="P324" s="225"/>
      <c r="Q324" s="225">
        <f>N324</f>
        <v>1200000</v>
      </c>
      <c r="R324" s="225"/>
      <c r="S324" s="225"/>
      <c r="T324" s="225"/>
      <c r="U324" s="225"/>
      <c r="V324" s="222"/>
      <c r="W324" s="282"/>
    </row>
    <row r="325" spans="1:23" x14ac:dyDescent="0.25">
      <c r="A325" s="232"/>
      <c r="B325" s="215" t="s">
        <v>503</v>
      </c>
      <c r="C325" s="215" t="s">
        <v>404</v>
      </c>
      <c r="D325" s="214"/>
      <c r="E325" s="236" t="s">
        <v>68</v>
      </c>
      <c r="F325" s="236"/>
      <c r="G325" s="216"/>
      <c r="H325" s="216"/>
      <c r="I325" s="217">
        <f>I326</f>
        <v>8850000</v>
      </c>
      <c r="J325" s="217">
        <f t="shared" ref="J325:U325" si="256">J326</f>
        <v>0</v>
      </c>
      <c r="K325" s="217">
        <f t="shared" si="256"/>
        <v>8850000</v>
      </c>
      <c r="L325" s="217"/>
      <c r="M325" s="217"/>
      <c r="N325" s="217">
        <f t="shared" si="256"/>
        <v>8850000</v>
      </c>
      <c r="O325" s="217">
        <f t="shared" si="256"/>
        <v>0</v>
      </c>
      <c r="P325" s="217"/>
      <c r="Q325" s="217">
        <f t="shared" si="256"/>
        <v>8850000</v>
      </c>
      <c r="R325" s="217">
        <f t="shared" si="256"/>
        <v>0</v>
      </c>
      <c r="S325" s="217">
        <f t="shared" si="256"/>
        <v>0</v>
      </c>
      <c r="T325" s="217">
        <f t="shared" si="256"/>
        <v>0</v>
      </c>
      <c r="U325" s="217">
        <f t="shared" si="256"/>
        <v>0</v>
      </c>
      <c r="V325" s="217"/>
      <c r="W325" s="283"/>
    </row>
    <row r="326" spans="1:23" ht="28.5" x14ac:dyDescent="0.25">
      <c r="A326" s="234"/>
      <c r="B326" s="219" t="s">
        <v>503</v>
      </c>
      <c r="C326" s="219" t="s">
        <v>405</v>
      </c>
      <c r="D326" s="218"/>
      <c r="E326" s="277" t="s">
        <v>505</v>
      </c>
      <c r="F326" s="277"/>
      <c r="G326" s="220"/>
      <c r="H326" s="220"/>
      <c r="I326" s="221">
        <f>SUM(I327:I327)</f>
        <v>8850000</v>
      </c>
      <c r="J326" s="221">
        <f t="shared" ref="J326:U326" si="257">SUM(J327:J327)</f>
        <v>0</v>
      </c>
      <c r="K326" s="221">
        <f t="shared" si="257"/>
        <v>8850000</v>
      </c>
      <c r="L326" s="221"/>
      <c r="M326" s="221"/>
      <c r="N326" s="221">
        <f t="shared" si="257"/>
        <v>8850000</v>
      </c>
      <c r="O326" s="221">
        <f t="shared" si="257"/>
        <v>0</v>
      </c>
      <c r="P326" s="221"/>
      <c r="Q326" s="221">
        <f t="shared" si="257"/>
        <v>8850000</v>
      </c>
      <c r="R326" s="221">
        <f t="shared" si="257"/>
        <v>0</v>
      </c>
      <c r="S326" s="221">
        <f t="shared" si="257"/>
        <v>0</v>
      </c>
      <c r="T326" s="221">
        <f t="shared" si="257"/>
        <v>0</v>
      </c>
      <c r="U326" s="221">
        <f t="shared" si="257"/>
        <v>0</v>
      </c>
      <c r="V326" s="221"/>
      <c r="W326" s="283"/>
    </row>
    <row r="327" spans="1:23" ht="30" x14ac:dyDescent="0.25">
      <c r="A327" s="233"/>
      <c r="B327" s="223" t="s">
        <v>503</v>
      </c>
      <c r="C327" s="223" t="s">
        <v>407</v>
      </c>
      <c r="D327" s="222"/>
      <c r="E327" s="258" t="s">
        <v>506</v>
      </c>
      <c r="F327" s="258"/>
      <c r="G327" s="224"/>
      <c r="H327" s="224"/>
      <c r="I327" s="225">
        <v>8850000</v>
      </c>
      <c r="J327" s="225">
        <v>0</v>
      </c>
      <c r="K327" s="225">
        <f>[1]Nov!I349</f>
        <v>8850000</v>
      </c>
      <c r="L327" s="225"/>
      <c r="M327" s="225"/>
      <c r="N327" s="225">
        <f t="shared" ref="N327" si="258">J327+K327</f>
        <v>8850000</v>
      </c>
      <c r="O327" s="225">
        <f t="shared" ref="O327" si="259">I327-N327</f>
        <v>0</v>
      </c>
      <c r="P327" s="225"/>
      <c r="Q327" s="225">
        <f>N327</f>
        <v>8850000</v>
      </c>
      <c r="R327" s="225"/>
      <c r="S327" s="225"/>
      <c r="T327" s="225"/>
      <c r="U327" s="225"/>
      <c r="V327" s="222"/>
      <c r="W327" s="281"/>
    </row>
    <row r="328" spans="1:23" x14ac:dyDescent="0.25">
      <c r="A328" s="233"/>
      <c r="B328" s="223"/>
      <c r="C328" s="223"/>
      <c r="D328" s="222"/>
      <c r="E328" s="258"/>
      <c r="F328" s="258"/>
      <c r="G328" s="224"/>
      <c r="H328" s="224"/>
      <c r="I328" s="225"/>
      <c r="J328" s="225"/>
      <c r="K328" s="225"/>
      <c r="L328" s="225"/>
      <c r="M328" s="225"/>
      <c r="N328" s="225"/>
      <c r="O328" s="225"/>
      <c r="P328" s="225"/>
      <c r="Q328" s="225"/>
      <c r="R328" s="225"/>
      <c r="S328" s="225"/>
      <c r="T328" s="225"/>
      <c r="U328" s="225"/>
      <c r="V328" s="222"/>
      <c r="W328" s="281"/>
    </row>
    <row r="329" spans="1:23" ht="45" x14ac:dyDescent="0.25">
      <c r="A329" s="232"/>
      <c r="B329" s="215" t="s">
        <v>507</v>
      </c>
      <c r="C329" s="232"/>
      <c r="D329" s="214"/>
      <c r="E329" s="236" t="s">
        <v>508</v>
      </c>
      <c r="F329" s="236" t="s">
        <v>707</v>
      </c>
      <c r="G329" s="216"/>
      <c r="H329" s="216"/>
      <c r="I329" s="217">
        <f>I330</f>
        <v>2240000</v>
      </c>
      <c r="J329" s="217">
        <f>J330</f>
        <v>0</v>
      </c>
      <c r="K329" s="217">
        <f>K330</f>
        <v>2240000</v>
      </c>
      <c r="L329" s="217"/>
      <c r="M329" s="217"/>
      <c r="N329" s="217">
        <f>N330</f>
        <v>2240000</v>
      </c>
      <c r="O329" s="217">
        <f>O330</f>
        <v>0</v>
      </c>
      <c r="P329" s="217"/>
      <c r="Q329" s="217">
        <f t="shared" ref="Q329:U329" si="260">Q330</f>
        <v>2240000</v>
      </c>
      <c r="R329" s="217">
        <f t="shared" si="260"/>
        <v>0</v>
      </c>
      <c r="S329" s="217">
        <f t="shared" si="260"/>
        <v>0</v>
      </c>
      <c r="T329" s="217">
        <f t="shared" si="260"/>
        <v>0</v>
      </c>
      <c r="U329" s="217">
        <f t="shared" si="260"/>
        <v>0</v>
      </c>
      <c r="V329" s="214"/>
      <c r="W329" s="282"/>
    </row>
    <row r="330" spans="1:23" x14ac:dyDescent="0.25">
      <c r="A330" s="232"/>
      <c r="B330" s="215" t="s">
        <v>507</v>
      </c>
      <c r="C330" s="215" t="s">
        <v>359</v>
      </c>
      <c r="D330" s="214"/>
      <c r="E330" s="236" t="s">
        <v>67</v>
      </c>
      <c r="F330" s="236"/>
      <c r="G330" s="216"/>
      <c r="H330" s="216"/>
      <c r="I330" s="217">
        <f>I331+I333</f>
        <v>2240000</v>
      </c>
      <c r="J330" s="217">
        <f>J331+J333</f>
        <v>0</v>
      </c>
      <c r="K330" s="217">
        <f>K331+K333</f>
        <v>2240000</v>
      </c>
      <c r="L330" s="217"/>
      <c r="M330" s="217"/>
      <c r="N330" s="217">
        <f>N331+N333</f>
        <v>2240000</v>
      </c>
      <c r="O330" s="217">
        <f>O331+O333</f>
        <v>0</v>
      </c>
      <c r="P330" s="217"/>
      <c r="Q330" s="217">
        <f t="shared" ref="Q330:U330" si="261">Q331+Q333</f>
        <v>2240000</v>
      </c>
      <c r="R330" s="217">
        <f t="shared" si="261"/>
        <v>0</v>
      </c>
      <c r="S330" s="217">
        <f t="shared" si="261"/>
        <v>0</v>
      </c>
      <c r="T330" s="217">
        <f t="shared" si="261"/>
        <v>0</v>
      </c>
      <c r="U330" s="217">
        <f t="shared" si="261"/>
        <v>0</v>
      </c>
      <c r="V330" s="214"/>
      <c r="W330" s="283"/>
    </row>
    <row r="331" spans="1:23" x14ac:dyDescent="0.25">
      <c r="A331" s="234"/>
      <c r="B331" s="219" t="s">
        <v>507</v>
      </c>
      <c r="C331" s="219" t="s">
        <v>360</v>
      </c>
      <c r="D331" s="218"/>
      <c r="E331" s="277" t="s">
        <v>361</v>
      </c>
      <c r="F331" s="277"/>
      <c r="G331" s="220"/>
      <c r="H331" s="220"/>
      <c r="I331" s="221">
        <f>SUM(I332)</f>
        <v>1040000</v>
      </c>
      <c r="J331" s="221">
        <f>SUM(J332)</f>
        <v>0</v>
      </c>
      <c r="K331" s="221">
        <f>SUM(K332)</f>
        <v>1040000</v>
      </c>
      <c r="L331" s="221"/>
      <c r="M331" s="221"/>
      <c r="N331" s="221">
        <f>SUM(N332)</f>
        <v>1040000</v>
      </c>
      <c r="O331" s="221">
        <f>SUM(O332)</f>
        <v>0</v>
      </c>
      <c r="P331" s="221"/>
      <c r="Q331" s="221">
        <f t="shared" ref="Q331:U331" si="262">SUM(Q332)</f>
        <v>1040000</v>
      </c>
      <c r="R331" s="221">
        <f t="shared" si="262"/>
        <v>0</v>
      </c>
      <c r="S331" s="221">
        <f t="shared" si="262"/>
        <v>0</v>
      </c>
      <c r="T331" s="221">
        <f t="shared" si="262"/>
        <v>0</v>
      </c>
      <c r="U331" s="221">
        <f t="shared" si="262"/>
        <v>0</v>
      </c>
      <c r="V331" s="218"/>
      <c r="W331" s="283"/>
    </row>
    <row r="332" spans="1:23" ht="30" x14ac:dyDescent="0.25">
      <c r="A332" s="233"/>
      <c r="B332" s="223" t="s">
        <v>507</v>
      </c>
      <c r="C332" s="223" t="s">
        <v>368</v>
      </c>
      <c r="D332" s="222"/>
      <c r="E332" s="258" t="s">
        <v>369</v>
      </c>
      <c r="F332" s="258"/>
      <c r="G332" s="224"/>
      <c r="H332" s="224"/>
      <c r="I332" s="225">
        <v>1040000</v>
      </c>
      <c r="J332" s="225">
        <v>0</v>
      </c>
      <c r="K332" s="225">
        <f>[1]Nov!I354</f>
        <v>1040000</v>
      </c>
      <c r="L332" s="225"/>
      <c r="M332" s="225"/>
      <c r="N332" s="225">
        <f t="shared" ref="N332" si="263">J332+K332</f>
        <v>1040000</v>
      </c>
      <c r="O332" s="225">
        <f t="shared" ref="O332" si="264">I332-N332</f>
        <v>0</v>
      </c>
      <c r="P332" s="225"/>
      <c r="Q332" s="225">
        <f>N332</f>
        <v>1040000</v>
      </c>
      <c r="R332" s="225"/>
      <c r="S332" s="225"/>
      <c r="T332" s="225"/>
      <c r="U332" s="225"/>
      <c r="V332" s="222"/>
      <c r="W332" s="283"/>
    </row>
    <row r="333" spans="1:23" x14ac:dyDescent="0.25">
      <c r="A333" s="234"/>
      <c r="B333" s="219" t="s">
        <v>507</v>
      </c>
      <c r="C333" s="219" t="s">
        <v>370</v>
      </c>
      <c r="D333" s="218"/>
      <c r="E333" s="277" t="s">
        <v>81</v>
      </c>
      <c r="F333" s="277"/>
      <c r="G333" s="220"/>
      <c r="H333" s="220"/>
      <c r="I333" s="221">
        <f>SUM(I334:I335)</f>
        <v>1200000</v>
      </c>
      <c r="J333" s="221">
        <f>SUM(J334:J335)</f>
        <v>0</v>
      </c>
      <c r="K333" s="221">
        <f>SUM(K334:K335)</f>
        <v>1200000</v>
      </c>
      <c r="L333" s="221"/>
      <c r="M333" s="221"/>
      <c r="N333" s="221">
        <f>SUM(N334:N335)</f>
        <v>1200000</v>
      </c>
      <c r="O333" s="221">
        <f>SUM(O334:O335)</f>
        <v>0</v>
      </c>
      <c r="P333" s="221"/>
      <c r="Q333" s="221">
        <f t="shared" ref="Q333:U333" si="265">SUM(Q334:Q335)</f>
        <v>1200000</v>
      </c>
      <c r="R333" s="221">
        <f t="shared" si="265"/>
        <v>0</v>
      </c>
      <c r="S333" s="221">
        <f t="shared" si="265"/>
        <v>0</v>
      </c>
      <c r="T333" s="221">
        <f t="shared" si="265"/>
        <v>0</v>
      </c>
      <c r="U333" s="221">
        <f t="shared" si="265"/>
        <v>0</v>
      </c>
      <c r="V333" s="218"/>
      <c r="W333" s="282"/>
    </row>
    <row r="334" spans="1:23" ht="30" x14ac:dyDescent="0.25">
      <c r="A334" s="233"/>
      <c r="B334" s="223" t="s">
        <v>507</v>
      </c>
      <c r="C334" s="223" t="s">
        <v>476</v>
      </c>
      <c r="D334" s="222"/>
      <c r="E334" s="258" t="s">
        <v>477</v>
      </c>
      <c r="F334" s="258"/>
      <c r="G334" s="224"/>
      <c r="H334" s="224"/>
      <c r="I334" s="225">
        <v>450000</v>
      </c>
      <c r="J334" s="225">
        <v>0</v>
      </c>
      <c r="K334" s="225">
        <f>[1]Nov!I356</f>
        <v>450000</v>
      </c>
      <c r="L334" s="225"/>
      <c r="M334" s="225"/>
      <c r="N334" s="225">
        <f t="shared" ref="N334:N335" si="266">J334+K334</f>
        <v>450000</v>
      </c>
      <c r="O334" s="225">
        <f t="shared" ref="O334:O335" si="267">I334-N334</f>
        <v>0</v>
      </c>
      <c r="P334" s="225"/>
      <c r="Q334" s="225">
        <f>N334</f>
        <v>450000</v>
      </c>
      <c r="R334" s="225"/>
      <c r="S334" s="225"/>
      <c r="T334" s="225"/>
      <c r="U334" s="225"/>
      <c r="V334" s="222"/>
      <c r="W334" s="283"/>
    </row>
    <row r="335" spans="1:23" ht="30" x14ac:dyDescent="0.25">
      <c r="A335" s="243"/>
      <c r="B335" s="244" t="s">
        <v>507</v>
      </c>
      <c r="C335" s="244" t="s">
        <v>478</v>
      </c>
      <c r="D335" s="245"/>
      <c r="E335" s="295" t="s">
        <v>479</v>
      </c>
      <c r="F335" s="295"/>
      <c r="G335" s="246"/>
      <c r="H335" s="246"/>
      <c r="I335" s="247">
        <v>750000</v>
      </c>
      <c r="J335" s="247">
        <v>0</v>
      </c>
      <c r="K335" s="225">
        <f>[1]Nov!I357</f>
        <v>750000</v>
      </c>
      <c r="L335" s="247"/>
      <c r="M335" s="247"/>
      <c r="N335" s="247">
        <f t="shared" si="266"/>
        <v>750000</v>
      </c>
      <c r="O335" s="247">
        <f t="shared" si="267"/>
        <v>0</v>
      </c>
      <c r="P335" s="247"/>
      <c r="Q335" s="225">
        <f>N335</f>
        <v>750000</v>
      </c>
      <c r="R335" s="247"/>
      <c r="S335" s="247"/>
      <c r="T335" s="247"/>
      <c r="U335" s="247"/>
      <c r="V335" s="245"/>
      <c r="W335" s="283"/>
    </row>
    <row r="336" spans="1:23" x14ac:dyDescent="0.25">
      <c r="A336" s="233"/>
      <c r="B336" s="223"/>
      <c r="C336" s="223"/>
      <c r="D336" s="222"/>
      <c r="E336" s="224"/>
      <c r="F336" s="258"/>
      <c r="G336" s="224"/>
      <c r="H336" s="224"/>
      <c r="I336" s="225"/>
      <c r="J336" s="225"/>
      <c r="K336" s="225"/>
      <c r="L336" s="225"/>
      <c r="M336" s="225"/>
      <c r="N336" s="225"/>
      <c r="O336" s="225"/>
      <c r="P336" s="225"/>
      <c r="Q336" s="225"/>
      <c r="R336" s="225"/>
      <c r="S336" s="225"/>
      <c r="T336" s="225"/>
      <c r="U336" s="225"/>
      <c r="V336" s="222"/>
      <c r="W336" s="281"/>
    </row>
    <row r="337" spans="1:23" ht="60" x14ac:dyDescent="0.25">
      <c r="A337" s="249"/>
      <c r="B337" s="254" t="s">
        <v>509</v>
      </c>
      <c r="C337" s="249"/>
      <c r="D337" s="251"/>
      <c r="E337" s="255" t="s">
        <v>510</v>
      </c>
      <c r="F337" s="255" t="s">
        <v>708</v>
      </c>
      <c r="G337" s="255"/>
      <c r="H337" s="255"/>
      <c r="I337" s="256">
        <f t="shared" ref="I337:U338" si="268">I338</f>
        <v>3250000</v>
      </c>
      <c r="J337" s="256">
        <f t="shared" si="268"/>
        <v>0</v>
      </c>
      <c r="K337" s="256">
        <f t="shared" si="268"/>
        <v>3250000</v>
      </c>
      <c r="L337" s="256"/>
      <c r="M337" s="256"/>
      <c r="N337" s="256">
        <f t="shared" si="268"/>
        <v>3250000</v>
      </c>
      <c r="O337" s="256">
        <f t="shared" si="268"/>
        <v>0</v>
      </c>
      <c r="P337" s="256"/>
      <c r="Q337" s="256">
        <f t="shared" si="268"/>
        <v>3250000</v>
      </c>
      <c r="R337" s="256">
        <f t="shared" si="268"/>
        <v>0</v>
      </c>
      <c r="S337" s="256">
        <f t="shared" si="268"/>
        <v>0</v>
      </c>
      <c r="T337" s="256">
        <f t="shared" si="268"/>
        <v>0</v>
      </c>
      <c r="U337" s="256">
        <f t="shared" si="268"/>
        <v>0</v>
      </c>
      <c r="V337" s="251"/>
      <c r="W337" s="282"/>
    </row>
    <row r="338" spans="1:23" x14ac:dyDescent="0.25">
      <c r="A338" s="232"/>
      <c r="B338" s="215" t="s">
        <v>509</v>
      </c>
      <c r="C338" s="215" t="s">
        <v>359</v>
      </c>
      <c r="D338" s="214"/>
      <c r="E338" s="216" t="s">
        <v>67</v>
      </c>
      <c r="F338" s="236"/>
      <c r="G338" s="216"/>
      <c r="H338" s="216"/>
      <c r="I338" s="217">
        <f t="shared" si="268"/>
        <v>3250000</v>
      </c>
      <c r="J338" s="217">
        <f t="shared" si="268"/>
        <v>0</v>
      </c>
      <c r="K338" s="217">
        <f t="shared" si="268"/>
        <v>3250000</v>
      </c>
      <c r="L338" s="217"/>
      <c r="M338" s="217"/>
      <c r="N338" s="217">
        <f t="shared" si="268"/>
        <v>3250000</v>
      </c>
      <c r="O338" s="217">
        <f t="shared" si="268"/>
        <v>0</v>
      </c>
      <c r="P338" s="217"/>
      <c r="Q338" s="217">
        <f t="shared" si="268"/>
        <v>3250000</v>
      </c>
      <c r="R338" s="217">
        <f t="shared" si="268"/>
        <v>0</v>
      </c>
      <c r="S338" s="217">
        <f t="shared" si="268"/>
        <v>0</v>
      </c>
      <c r="T338" s="217">
        <f t="shared" si="268"/>
        <v>0</v>
      </c>
      <c r="U338" s="217">
        <f t="shared" si="268"/>
        <v>0</v>
      </c>
      <c r="V338" s="214"/>
      <c r="W338" s="283"/>
    </row>
    <row r="339" spans="1:23" ht="28.5" x14ac:dyDescent="0.25">
      <c r="A339" s="234"/>
      <c r="B339" s="219" t="s">
        <v>509</v>
      </c>
      <c r="C339" s="219" t="s">
        <v>460</v>
      </c>
      <c r="D339" s="218"/>
      <c r="E339" s="277" t="s">
        <v>461</v>
      </c>
      <c r="F339" s="277"/>
      <c r="G339" s="220"/>
      <c r="H339" s="220"/>
      <c r="I339" s="221">
        <f>SUM(I340)</f>
        <v>3250000</v>
      </c>
      <c r="J339" s="221">
        <f>SUM(J340)</f>
        <v>0</v>
      </c>
      <c r="K339" s="221">
        <f>SUM(K340)</f>
        <v>3250000</v>
      </c>
      <c r="L339" s="221"/>
      <c r="M339" s="221"/>
      <c r="N339" s="221">
        <f>SUM(N340)</f>
        <v>3250000</v>
      </c>
      <c r="O339" s="221">
        <f>SUM(O340)</f>
        <v>0</v>
      </c>
      <c r="P339" s="221"/>
      <c r="Q339" s="221">
        <f t="shared" ref="Q339:U339" si="269">SUM(Q340)</f>
        <v>3250000</v>
      </c>
      <c r="R339" s="221">
        <f t="shared" si="269"/>
        <v>0</v>
      </c>
      <c r="S339" s="221">
        <f t="shared" si="269"/>
        <v>0</v>
      </c>
      <c r="T339" s="221">
        <f t="shared" si="269"/>
        <v>0</v>
      </c>
      <c r="U339" s="221">
        <f t="shared" si="269"/>
        <v>0</v>
      </c>
      <c r="V339" s="218"/>
      <c r="W339" s="283"/>
    </row>
    <row r="340" spans="1:23" ht="30" x14ac:dyDescent="0.25">
      <c r="A340" s="233"/>
      <c r="B340" s="223" t="s">
        <v>509</v>
      </c>
      <c r="C340" s="223" t="s">
        <v>462</v>
      </c>
      <c r="D340" s="222"/>
      <c r="E340" s="258" t="s">
        <v>463</v>
      </c>
      <c r="F340" s="258"/>
      <c r="G340" s="224"/>
      <c r="H340" s="224"/>
      <c r="I340" s="225">
        <v>3250000</v>
      </c>
      <c r="J340" s="225">
        <v>0</v>
      </c>
      <c r="K340" s="225">
        <f>[1]Nov!I362</f>
        <v>3250000</v>
      </c>
      <c r="L340" s="225"/>
      <c r="M340" s="225"/>
      <c r="N340" s="225">
        <f t="shared" ref="N340" si="270">J340+K340</f>
        <v>3250000</v>
      </c>
      <c r="O340" s="225">
        <f t="shared" ref="O340" si="271">I340-N340</f>
        <v>0</v>
      </c>
      <c r="P340" s="225"/>
      <c r="Q340" s="225">
        <f>N340</f>
        <v>3250000</v>
      </c>
      <c r="R340" s="225"/>
      <c r="S340" s="225"/>
      <c r="T340" s="225"/>
      <c r="U340" s="225"/>
      <c r="V340" s="222"/>
      <c r="W340" s="281"/>
    </row>
    <row r="341" spans="1:23" x14ac:dyDescent="0.25">
      <c r="A341" s="233"/>
      <c r="B341" s="223"/>
      <c r="C341" s="223"/>
      <c r="D341" s="222"/>
      <c r="E341" s="258"/>
      <c r="F341" s="258"/>
      <c r="G341" s="224"/>
      <c r="H341" s="224"/>
      <c r="I341" s="225"/>
      <c r="J341" s="225"/>
      <c r="K341" s="225"/>
      <c r="L341" s="225"/>
      <c r="M341" s="225"/>
      <c r="N341" s="225"/>
      <c r="O341" s="225"/>
      <c r="P341" s="225"/>
      <c r="Q341" s="225"/>
      <c r="R341" s="225"/>
      <c r="S341" s="225"/>
      <c r="T341" s="225"/>
      <c r="U341" s="225"/>
      <c r="V341" s="222"/>
      <c r="W341" s="281"/>
    </row>
    <row r="342" spans="1:23" ht="45" x14ac:dyDescent="0.25">
      <c r="A342" s="232"/>
      <c r="B342" s="215" t="s">
        <v>511</v>
      </c>
      <c r="C342" s="232"/>
      <c r="D342" s="214"/>
      <c r="E342" s="236" t="s">
        <v>512</v>
      </c>
      <c r="F342" s="236" t="s">
        <v>709</v>
      </c>
      <c r="G342" s="216"/>
      <c r="H342" s="216"/>
      <c r="I342" s="217">
        <f>I343</f>
        <v>2250000</v>
      </c>
      <c r="J342" s="217">
        <f>J343</f>
        <v>0</v>
      </c>
      <c r="K342" s="217">
        <f>K343</f>
        <v>2250000</v>
      </c>
      <c r="L342" s="217"/>
      <c r="M342" s="217"/>
      <c r="N342" s="217">
        <f>N343</f>
        <v>2250000</v>
      </c>
      <c r="O342" s="217">
        <f>O343</f>
        <v>0</v>
      </c>
      <c r="P342" s="217"/>
      <c r="Q342" s="217">
        <f t="shared" ref="Q342:U342" si="272">Q343</f>
        <v>2250000</v>
      </c>
      <c r="R342" s="217">
        <f t="shared" si="272"/>
        <v>0</v>
      </c>
      <c r="S342" s="217">
        <f t="shared" si="272"/>
        <v>0</v>
      </c>
      <c r="T342" s="217">
        <f t="shared" si="272"/>
        <v>0</v>
      </c>
      <c r="U342" s="217">
        <f t="shared" si="272"/>
        <v>0</v>
      </c>
      <c r="V342" s="214"/>
      <c r="W342" s="282"/>
    </row>
    <row r="343" spans="1:23" x14ac:dyDescent="0.25">
      <c r="A343" s="232"/>
      <c r="B343" s="215" t="s">
        <v>511</v>
      </c>
      <c r="C343" s="215" t="s">
        <v>359</v>
      </c>
      <c r="D343" s="214"/>
      <c r="E343" s="236" t="s">
        <v>67</v>
      </c>
      <c r="F343" s="236"/>
      <c r="G343" s="216"/>
      <c r="H343" s="216"/>
      <c r="I343" s="217">
        <f>I344+I348</f>
        <v>2250000</v>
      </c>
      <c r="J343" s="217">
        <f>J344+J348</f>
        <v>0</v>
      </c>
      <c r="K343" s="217">
        <f>K344+K348</f>
        <v>2250000</v>
      </c>
      <c r="L343" s="217"/>
      <c r="M343" s="217"/>
      <c r="N343" s="217">
        <f>N344+N348</f>
        <v>2250000</v>
      </c>
      <c r="O343" s="217">
        <f>O344+O348</f>
        <v>0</v>
      </c>
      <c r="P343" s="217"/>
      <c r="Q343" s="217">
        <f t="shared" ref="Q343:U343" si="273">Q344+Q348</f>
        <v>2250000</v>
      </c>
      <c r="R343" s="217">
        <f t="shared" si="273"/>
        <v>0</v>
      </c>
      <c r="S343" s="217">
        <f t="shared" si="273"/>
        <v>0</v>
      </c>
      <c r="T343" s="217">
        <f t="shared" si="273"/>
        <v>0</v>
      </c>
      <c r="U343" s="217">
        <f t="shared" si="273"/>
        <v>0</v>
      </c>
      <c r="V343" s="214"/>
      <c r="W343" s="283"/>
    </row>
    <row r="344" spans="1:23" x14ac:dyDescent="0.25">
      <c r="A344" s="234"/>
      <c r="B344" s="219" t="s">
        <v>511</v>
      </c>
      <c r="C344" s="219" t="s">
        <v>360</v>
      </c>
      <c r="D344" s="218"/>
      <c r="E344" s="277" t="s">
        <v>361</v>
      </c>
      <c r="F344" s="277"/>
      <c r="G344" s="220"/>
      <c r="H344" s="220"/>
      <c r="I344" s="221">
        <f>SUM(I345:I347)</f>
        <v>1800000</v>
      </c>
      <c r="J344" s="221">
        <f>SUM(J345:J347)</f>
        <v>0</v>
      </c>
      <c r="K344" s="221">
        <f>SUM(K345:K347)</f>
        <v>1800000</v>
      </c>
      <c r="L344" s="221"/>
      <c r="M344" s="221"/>
      <c r="N344" s="221">
        <f>SUM(N345:N347)</f>
        <v>1800000</v>
      </c>
      <c r="O344" s="221">
        <f>SUM(O345:O347)</f>
        <v>0</v>
      </c>
      <c r="P344" s="221"/>
      <c r="Q344" s="221">
        <f t="shared" ref="Q344:U344" si="274">SUM(Q345:Q347)</f>
        <v>1800000</v>
      </c>
      <c r="R344" s="221">
        <f t="shared" si="274"/>
        <v>0</v>
      </c>
      <c r="S344" s="221">
        <f t="shared" si="274"/>
        <v>0</v>
      </c>
      <c r="T344" s="221">
        <f t="shared" si="274"/>
        <v>0</v>
      </c>
      <c r="U344" s="221">
        <f t="shared" si="274"/>
        <v>0</v>
      </c>
      <c r="V344" s="218"/>
      <c r="W344" s="283"/>
    </row>
    <row r="345" spans="1:23" ht="30" x14ac:dyDescent="0.25">
      <c r="A345" s="233"/>
      <c r="B345" s="223" t="s">
        <v>511</v>
      </c>
      <c r="C345" s="223" t="s">
        <v>362</v>
      </c>
      <c r="D345" s="222"/>
      <c r="E345" s="258" t="s">
        <v>363</v>
      </c>
      <c r="F345" s="258"/>
      <c r="G345" s="224"/>
      <c r="H345" s="224"/>
      <c r="I345" s="225">
        <v>300000</v>
      </c>
      <c r="J345" s="225">
        <v>0</v>
      </c>
      <c r="K345" s="225">
        <f>[1]Nov!I367</f>
        <v>300000</v>
      </c>
      <c r="L345" s="225"/>
      <c r="M345" s="225"/>
      <c r="N345" s="225">
        <f t="shared" ref="N345:N347" si="275">J345+K345</f>
        <v>300000</v>
      </c>
      <c r="O345" s="225">
        <f t="shared" ref="O345:O347" si="276">I345-N345</f>
        <v>0</v>
      </c>
      <c r="P345" s="225"/>
      <c r="Q345" s="225">
        <f>N345</f>
        <v>300000</v>
      </c>
      <c r="R345" s="225"/>
      <c r="S345" s="225"/>
      <c r="T345" s="225"/>
      <c r="U345" s="225"/>
      <c r="V345" s="222"/>
      <c r="W345" s="281"/>
    </row>
    <row r="346" spans="1:23" ht="30" x14ac:dyDescent="0.25">
      <c r="A346" s="233"/>
      <c r="B346" s="223" t="s">
        <v>511</v>
      </c>
      <c r="C346" s="223" t="s">
        <v>366</v>
      </c>
      <c r="D346" s="222"/>
      <c r="E346" s="258" t="s">
        <v>367</v>
      </c>
      <c r="F346" s="258"/>
      <c r="G346" s="224"/>
      <c r="H346" s="224"/>
      <c r="I346" s="225">
        <v>300000</v>
      </c>
      <c r="J346" s="225">
        <v>0</v>
      </c>
      <c r="K346" s="225">
        <f>[1]Nov!I368</f>
        <v>300000</v>
      </c>
      <c r="L346" s="225"/>
      <c r="M346" s="225"/>
      <c r="N346" s="225">
        <f t="shared" si="275"/>
        <v>300000</v>
      </c>
      <c r="O346" s="225">
        <f t="shared" si="276"/>
        <v>0</v>
      </c>
      <c r="P346" s="225"/>
      <c r="Q346" s="225">
        <f t="shared" ref="Q346:Q347" si="277">N346</f>
        <v>300000</v>
      </c>
      <c r="R346" s="225"/>
      <c r="S346" s="225"/>
      <c r="T346" s="225"/>
      <c r="U346" s="225"/>
      <c r="V346" s="222"/>
      <c r="W346" s="281"/>
    </row>
    <row r="347" spans="1:23" ht="30" x14ac:dyDescent="0.25">
      <c r="A347" s="233"/>
      <c r="B347" s="223" t="s">
        <v>511</v>
      </c>
      <c r="C347" s="223" t="s">
        <v>368</v>
      </c>
      <c r="D347" s="222"/>
      <c r="E347" s="258" t="s">
        <v>369</v>
      </c>
      <c r="F347" s="258"/>
      <c r="G347" s="224"/>
      <c r="H347" s="224"/>
      <c r="I347" s="225">
        <v>1200000</v>
      </c>
      <c r="J347" s="225">
        <v>0</v>
      </c>
      <c r="K347" s="225">
        <f>[1]Nov!I369</f>
        <v>1200000</v>
      </c>
      <c r="L347" s="225"/>
      <c r="M347" s="225"/>
      <c r="N347" s="225">
        <f t="shared" si="275"/>
        <v>1200000</v>
      </c>
      <c r="O347" s="225">
        <f t="shared" si="276"/>
        <v>0</v>
      </c>
      <c r="P347" s="225"/>
      <c r="Q347" s="225">
        <f t="shared" si="277"/>
        <v>1200000</v>
      </c>
      <c r="R347" s="225"/>
      <c r="S347" s="225"/>
      <c r="T347" s="225"/>
      <c r="U347" s="225"/>
      <c r="V347" s="222"/>
      <c r="W347" s="282"/>
    </row>
    <row r="348" spans="1:23" x14ac:dyDescent="0.25">
      <c r="A348" s="234"/>
      <c r="B348" s="219" t="s">
        <v>511</v>
      </c>
      <c r="C348" s="219" t="s">
        <v>370</v>
      </c>
      <c r="D348" s="218"/>
      <c r="E348" s="277" t="s">
        <v>81</v>
      </c>
      <c r="F348" s="277"/>
      <c r="G348" s="220"/>
      <c r="H348" s="220"/>
      <c r="I348" s="221">
        <f>SUM(I349)</f>
        <v>450000</v>
      </c>
      <c r="J348" s="221">
        <f>SUM(J349)</f>
        <v>0</v>
      </c>
      <c r="K348" s="221">
        <f>SUM(K349)</f>
        <v>450000</v>
      </c>
      <c r="L348" s="221"/>
      <c r="M348" s="221"/>
      <c r="N348" s="221">
        <f>SUM(N349)</f>
        <v>450000</v>
      </c>
      <c r="O348" s="221">
        <f>SUM(O349)</f>
        <v>0</v>
      </c>
      <c r="P348" s="221"/>
      <c r="Q348" s="221">
        <f t="shared" ref="Q348:U348" si="278">SUM(Q349)</f>
        <v>450000</v>
      </c>
      <c r="R348" s="221">
        <f t="shared" si="278"/>
        <v>0</v>
      </c>
      <c r="S348" s="221">
        <f t="shared" si="278"/>
        <v>0</v>
      </c>
      <c r="T348" s="221">
        <f t="shared" si="278"/>
        <v>0</v>
      </c>
      <c r="U348" s="221">
        <f t="shared" si="278"/>
        <v>0</v>
      </c>
      <c r="V348" s="218"/>
      <c r="W348" s="283"/>
    </row>
    <row r="349" spans="1:23" ht="30" x14ac:dyDescent="0.25">
      <c r="A349" s="233"/>
      <c r="B349" s="223" t="s">
        <v>511</v>
      </c>
      <c r="C349" s="223" t="s">
        <v>476</v>
      </c>
      <c r="D349" s="222"/>
      <c r="E349" s="258" t="s">
        <v>477</v>
      </c>
      <c r="F349" s="258"/>
      <c r="G349" s="224"/>
      <c r="H349" s="224"/>
      <c r="I349" s="225">
        <v>450000</v>
      </c>
      <c r="J349" s="225">
        <v>0</v>
      </c>
      <c r="K349" s="225">
        <f>[1]Nov!I371</f>
        <v>450000</v>
      </c>
      <c r="L349" s="225"/>
      <c r="M349" s="225"/>
      <c r="N349" s="225">
        <f t="shared" ref="N349" si="279">J349+K349</f>
        <v>450000</v>
      </c>
      <c r="O349" s="225">
        <f t="shared" ref="O349" si="280">I349-N349</f>
        <v>0</v>
      </c>
      <c r="P349" s="225"/>
      <c r="Q349" s="225">
        <f>N349</f>
        <v>450000</v>
      </c>
      <c r="R349" s="225"/>
      <c r="S349" s="225"/>
      <c r="T349" s="225"/>
      <c r="U349" s="225"/>
      <c r="V349" s="222"/>
      <c r="W349" s="283"/>
    </row>
    <row r="350" spans="1:23" x14ac:dyDescent="0.25">
      <c r="A350" s="233"/>
      <c r="B350" s="223"/>
      <c r="C350" s="223"/>
      <c r="D350" s="222"/>
      <c r="E350" s="258"/>
      <c r="F350" s="258"/>
      <c r="G350" s="224"/>
      <c r="H350" s="224"/>
      <c r="I350" s="225"/>
      <c r="J350" s="225"/>
      <c r="K350" s="225"/>
      <c r="L350" s="225"/>
      <c r="M350" s="225"/>
      <c r="N350" s="225"/>
      <c r="O350" s="225"/>
      <c r="P350" s="225"/>
      <c r="Q350" s="225"/>
      <c r="R350" s="225"/>
      <c r="S350" s="225"/>
      <c r="T350" s="225"/>
      <c r="U350" s="225"/>
      <c r="V350" s="222"/>
      <c r="W350" s="283"/>
    </row>
    <row r="351" spans="1:23" ht="45" x14ac:dyDescent="0.25">
      <c r="A351" s="232"/>
      <c r="B351" s="215" t="s">
        <v>513</v>
      </c>
      <c r="C351" s="232"/>
      <c r="D351" s="214"/>
      <c r="E351" s="236" t="s">
        <v>514</v>
      </c>
      <c r="F351" s="236" t="s">
        <v>710</v>
      </c>
      <c r="G351" s="216"/>
      <c r="H351" s="216"/>
      <c r="I351" s="217">
        <f>I352</f>
        <v>2502000</v>
      </c>
      <c r="J351" s="217">
        <f>J352</f>
        <v>621000</v>
      </c>
      <c r="K351" s="217">
        <f>K352</f>
        <v>1863000</v>
      </c>
      <c r="L351" s="217"/>
      <c r="M351" s="217"/>
      <c r="N351" s="217">
        <f>N352</f>
        <v>2484000</v>
      </c>
      <c r="O351" s="217">
        <f>O352</f>
        <v>18000</v>
      </c>
      <c r="P351" s="217"/>
      <c r="Q351" s="217">
        <f t="shared" ref="Q351:U351" si="281">Q352</f>
        <v>2484000</v>
      </c>
      <c r="R351" s="217">
        <f t="shared" si="281"/>
        <v>0</v>
      </c>
      <c r="S351" s="217">
        <f t="shared" si="281"/>
        <v>0</v>
      </c>
      <c r="T351" s="217">
        <f t="shared" si="281"/>
        <v>0</v>
      </c>
      <c r="U351" s="217">
        <f t="shared" si="281"/>
        <v>0</v>
      </c>
      <c r="V351" s="214"/>
      <c r="W351" s="282"/>
    </row>
    <row r="352" spans="1:23" x14ac:dyDescent="0.25">
      <c r="A352" s="232"/>
      <c r="B352" s="215" t="s">
        <v>513</v>
      </c>
      <c r="C352" s="215" t="s">
        <v>359</v>
      </c>
      <c r="D352" s="214"/>
      <c r="E352" s="236" t="s">
        <v>67</v>
      </c>
      <c r="F352" s="236"/>
      <c r="G352" s="216"/>
      <c r="H352" s="216"/>
      <c r="I352" s="217">
        <f>I353+I355</f>
        <v>2502000</v>
      </c>
      <c r="J352" s="217">
        <f>J353+J355</f>
        <v>621000</v>
      </c>
      <c r="K352" s="217">
        <f>K353+K355</f>
        <v>1863000</v>
      </c>
      <c r="L352" s="217"/>
      <c r="M352" s="217"/>
      <c r="N352" s="217">
        <f>N353+N355</f>
        <v>2484000</v>
      </c>
      <c r="O352" s="217">
        <f>O353+O355</f>
        <v>18000</v>
      </c>
      <c r="P352" s="217"/>
      <c r="Q352" s="217">
        <f t="shared" ref="Q352:U352" si="282">Q353+Q355</f>
        <v>2484000</v>
      </c>
      <c r="R352" s="217">
        <f t="shared" si="282"/>
        <v>0</v>
      </c>
      <c r="S352" s="217">
        <f t="shared" si="282"/>
        <v>0</v>
      </c>
      <c r="T352" s="217">
        <f t="shared" si="282"/>
        <v>0</v>
      </c>
      <c r="U352" s="217">
        <f t="shared" si="282"/>
        <v>0</v>
      </c>
      <c r="V352" s="214"/>
      <c r="W352" s="283"/>
    </row>
    <row r="353" spans="1:23" x14ac:dyDescent="0.25">
      <c r="A353" s="234"/>
      <c r="B353" s="219" t="s">
        <v>513</v>
      </c>
      <c r="C353" s="219" t="s">
        <v>360</v>
      </c>
      <c r="D353" s="218"/>
      <c r="E353" s="277" t="s">
        <v>361</v>
      </c>
      <c r="F353" s="277"/>
      <c r="G353" s="220"/>
      <c r="H353" s="220"/>
      <c r="I353" s="221">
        <f>SUM(I354)</f>
        <v>342000</v>
      </c>
      <c r="J353" s="221">
        <f>SUM(J354)</f>
        <v>81000</v>
      </c>
      <c r="K353" s="221">
        <f>SUM(K354)</f>
        <v>243000</v>
      </c>
      <c r="L353" s="221"/>
      <c r="M353" s="221"/>
      <c r="N353" s="221">
        <f>SUM(N354)</f>
        <v>324000</v>
      </c>
      <c r="O353" s="221">
        <f>SUM(O354)</f>
        <v>18000</v>
      </c>
      <c r="P353" s="221"/>
      <c r="Q353" s="221">
        <f t="shared" ref="Q353:U353" si="283">SUM(Q354)</f>
        <v>324000</v>
      </c>
      <c r="R353" s="221">
        <f t="shared" si="283"/>
        <v>0</v>
      </c>
      <c r="S353" s="221">
        <f t="shared" si="283"/>
        <v>0</v>
      </c>
      <c r="T353" s="221">
        <f t="shared" si="283"/>
        <v>0</v>
      </c>
      <c r="U353" s="221">
        <f t="shared" si="283"/>
        <v>0</v>
      </c>
      <c r="V353" s="218"/>
      <c r="W353" s="283"/>
    </row>
    <row r="354" spans="1:23" ht="30" x14ac:dyDescent="0.25">
      <c r="A354" s="233"/>
      <c r="B354" s="223" t="s">
        <v>513</v>
      </c>
      <c r="C354" s="223" t="s">
        <v>515</v>
      </c>
      <c r="D354" s="222"/>
      <c r="E354" s="258" t="s">
        <v>516</v>
      </c>
      <c r="F354" s="258"/>
      <c r="G354" s="224"/>
      <c r="H354" s="224"/>
      <c r="I354" s="225">
        <v>342000</v>
      </c>
      <c r="J354" s="225">
        <v>81000</v>
      </c>
      <c r="K354" s="225">
        <f>[1]Nov!I376</f>
        <v>243000</v>
      </c>
      <c r="L354" s="225"/>
      <c r="M354" s="225"/>
      <c r="N354" s="225">
        <f t="shared" ref="N354" si="284">J354+K354</f>
        <v>324000</v>
      </c>
      <c r="O354" s="225">
        <f t="shared" ref="O354" si="285">I354-N354</f>
        <v>18000</v>
      </c>
      <c r="P354" s="225"/>
      <c r="Q354" s="225">
        <f>N354</f>
        <v>324000</v>
      </c>
      <c r="R354" s="225"/>
      <c r="S354" s="225"/>
      <c r="T354" s="225"/>
      <c r="U354" s="225"/>
      <c r="V354" s="222"/>
      <c r="W354" s="281"/>
    </row>
    <row r="355" spans="1:23" x14ac:dyDescent="0.25">
      <c r="A355" s="234"/>
      <c r="B355" s="219" t="s">
        <v>513</v>
      </c>
      <c r="C355" s="219" t="s">
        <v>370</v>
      </c>
      <c r="D355" s="218"/>
      <c r="E355" s="277" t="s">
        <v>81</v>
      </c>
      <c r="F355" s="277"/>
      <c r="G355" s="220"/>
      <c r="H355" s="220"/>
      <c r="I355" s="221">
        <f>SUM(I356)</f>
        <v>2160000</v>
      </c>
      <c r="J355" s="221">
        <f>SUM(J356)</f>
        <v>540000</v>
      </c>
      <c r="K355" s="221">
        <f>SUM(K356)</f>
        <v>1620000</v>
      </c>
      <c r="L355" s="221"/>
      <c r="M355" s="221"/>
      <c r="N355" s="221">
        <f>SUM(N356)</f>
        <v>2160000</v>
      </c>
      <c r="O355" s="221">
        <f>SUM(O356)</f>
        <v>0</v>
      </c>
      <c r="P355" s="221"/>
      <c r="Q355" s="221">
        <f t="shared" ref="Q355:U355" si="286">SUM(Q356)</f>
        <v>2160000</v>
      </c>
      <c r="R355" s="221">
        <f t="shared" si="286"/>
        <v>0</v>
      </c>
      <c r="S355" s="221">
        <f t="shared" si="286"/>
        <v>0</v>
      </c>
      <c r="T355" s="221">
        <f t="shared" si="286"/>
        <v>0</v>
      </c>
      <c r="U355" s="221">
        <f t="shared" si="286"/>
        <v>0</v>
      </c>
      <c r="V355" s="218"/>
      <c r="W355" s="281"/>
    </row>
    <row r="356" spans="1:23" x14ac:dyDescent="0.25">
      <c r="A356" s="233"/>
      <c r="B356" s="223" t="s">
        <v>513</v>
      </c>
      <c r="C356" s="223" t="s">
        <v>398</v>
      </c>
      <c r="D356" s="222"/>
      <c r="E356" s="224" t="s">
        <v>399</v>
      </c>
      <c r="F356" s="258"/>
      <c r="G356" s="224"/>
      <c r="H356" s="224"/>
      <c r="I356" s="225">
        <v>2160000</v>
      </c>
      <c r="J356" s="225">
        <v>540000</v>
      </c>
      <c r="K356" s="225">
        <f>[1]Nov!I378</f>
        <v>1620000</v>
      </c>
      <c r="L356" s="225"/>
      <c r="M356" s="225"/>
      <c r="N356" s="225">
        <f t="shared" ref="N356" si="287">J356+K356</f>
        <v>2160000</v>
      </c>
      <c r="O356" s="225">
        <f t="shared" ref="O356" si="288">I356-N356</f>
        <v>0</v>
      </c>
      <c r="P356" s="225"/>
      <c r="Q356" s="225">
        <f>N356</f>
        <v>2160000</v>
      </c>
      <c r="R356" s="225"/>
      <c r="S356" s="225"/>
      <c r="T356" s="225"/>
      <c r="U356" s="225"/>
      <c r="V356" s="222"/>
      <c r="W356" s="282"/>
    </row>
    <row r="357" spans="1:23" x14ac:dyDescent="0.25">
      <c r="A357" s="233"/>
      <c r="B357" s="223"/>
      <c r="C357" s="223"/>
      <c r="D357" s="222"/>
      <c r="E357" s="224"/>
      <c r="F357" s="258"/>
      <c r="G357" s="224"/>
      <c r="H357" s="224"/>
      <c r="I357" s="225"/>
      <c r="J357" s="225"/>
      <c r="K357" s="225"/>
      <c r="L357" s="225"/>
      <c r="M357" s="225"/>
      <c r="N357" s="225"/>
      <c r="O357" s="225"/>
      <c r="P357" s="225"/>
      <c r="Q357" s="225"/>
      <c r="R357" s="225"/>
      <c r="S357" s="225"/>
      <c r="T357" s="225"/>
      <c r="U357" s="225"/>
      <c r="V357" s="222"/>
      <c r="W357" s="282"/>
    </row>
    <row r="358" spans="1:23" ht="45" x14ac:dyDescent="0.25">
      <c r="A358" s="232"/>
      <c r="B358" s="215" t="s">
        <v>517</v>
      </c>
      <c r="C358" s="232"/>
      <c r="D358" s="214"/>
      <c r="E358" s="236" t="s">
        <v>518</v>
      </c>
      <c r="F358" s="236" t="s">
        <v>711</v>
      </c>
      <c r="G358" s="216"/>
      <c r="H358" s="216"/>
      <c r="I358" s="217">
        <f t="shared" ref="I358:U359" si="289">I359</f>
        <v>6480000</v>
      </c>
      <c r="J358" s="217">
        <f t="shared" si="289"/>
        <v>1620000</v>
      </c>
      <c r="K358" s="217">
        <f t="shared" si="289"/>
        <v>4860000</v>
      </c>
      <c r="L358" s="217"/>
      <c r="M358" s="217"/>
      <c r="N358" s="217">
        <f t="shared" si="289"/>
        <v>6480000</v>
      </c>
      <c r="O358" s="217">
        <f t="shared" si="289"/>
        <v>0</v>
      </c>
      <c r="P358" s="217"/>
      <c r="Q358" s="217">
        <f t="shared" si="289"/>
        <v>6480000</v>
      </c>
      <c r="R358" s="217">
        <f t="shared" si="289"/>
        <v>0</v>
      </c>
      <c r="S358" s="217">
        <f t="shared" si="289"/>
        <v>0</v>
      </c>
      <c r="T358" s="217">
        <f t="shared" si="289"/>
        <v>0</v>
      </c>
      <c r="U358" s="217">
        <f t="shared" si="289"/>
        <v>0</v>
      </c>
      <c r="V358" s="214"/>
      <c r="W358" s="283"/>
    </row>
    <row r="359" spans="1:23" x14ac:dyDescent="0.25">
      <c r="A359" s="232"/>
      <c r="B359" s="215" t="s">
        <v>517</v>
      </c>
      <c r="C359" s="215" t="s">
        <v>359</v>
      </c>
      <c r="D359" s="214"/>
      <c r="E359" s="236" t="s">
        <v>67</v>
      </c>
      <c r="F359" s="236"/>
      <c r="G359" s="216"/>
      <c r="H359" s="216"/>
      <c r="I359" s="217">
        <f t="shared" si="289"/>
        <v>6480000</v>
      </c>
      <c r="J359" s="217">
        <f t="shared" si="289"/>
        <v>1620000</v>
      </c>
      <c r="K359" s="217">
        <f t="shared" si="289"/>
        <v>4860000</v>
      </c>
      <c r="L359" s="217"/>
      <c r="M359" s="217"/>
      <c r="N359" s="217">
        <f t="shared" si="289"/>
        <v>6480000</v>
      </c>
      <c r="O359" s="217">
        <f t="shared" si="289"/>
        <v>0</v>
      </c>
      <c r="P359" s="217"/>
      <c r="Q359" s="217">
        <f t="shared" si="289"/>
        <v>6480000</v>
      </c>
      <c r="R359" s="217">
        <f t="shared" si="289"/>
        <v>0</v>
      </c>
      <c r="S359" s="217">
        <f t="shared" si="289"/>
        <v>0</v>
      </c>
      <c r="T359" s="217">
        <f t="shared" si="289"/>
        <v>0</v>
      </c>
      <c r="U359" s="217">
        <f t="shared" si="289"/>
        <v>0</v>
      </c>
      <c r="V359" s="214"/>
      <c r="W359" s="283"/>
    </row>
    <row r="360" spans="1:23" ht="28.5" x14ac:dyDescent="0.25">
      <c r="A360" s="234"/>
      <c r="B360" s="219" t="s">
        <v>517</v>
      </c>
      <c r="C360" s="219" t="s">
        <v>460</v>
      </c>
      <c r="D360" s="218"/>
      <c r="E360" s="277" t="s">
        <v>461</v>
      </c>
      <c r="F360" s="277"/>
      <c r="G360" s="220"/>
      <c r="H360" s="220"/>
      <c r="I360" s="221">
        <f>SUM(I361)</f>
        <v>6480000</v>
      </c>
      <c r="J360" s="221">
        <f>SUM(J361)</f>
        <v>1620000</v>
      </c>
      <c r="K360" s="221">
        <f>SUM(K361)</f>
        <v>4860000</v>
      </c>
      <c r="L360" s="221"/>
      <c r="M360" s="221"/>
      <c r="N360" s="221">
        <f>SUM(N361)</f>
        <v>6480000</v>
      </c>
      <c r="O360" s="221">
        <f>SUM(O361)</f>
        <v>0</v>
      </c>
      <c r="P360" s="221"/>
      <c r="Q360" s="221">
        <f t="shared" ref="Q360:U360" si="290">SUM(Q361)</f>
        <v>6480000</v>
      </c>
      <c r="R360" s="221">
        <f t="shared" si="290"/>
        <v>0</v>
      </c>
      <c r="S360" s="221">
        <f t="shared" si="290"/>
        <v>0</v>
      </c>
      <c r="T360" s="221">
        <f t="shared" si="290"/>
        <v>0</v>
      </c>
      <c r="U360" s="221">
        <f t="shared" si="290"/>
        <v>0</v>
      </c>
      <c r="V360" s="218"/>
      <c r="W360" s="283"/>
    </row>
    <row r="361" spans="1:23" ht="30" x14ac:dyDescent="0.25">
      <c r="A361" s="233"/>
      <c r="B361" s="223" t="s">
        <v>517</v>
      </c>
      <c r="C361" s="223" t="s">
        <v>462</v>
      </c>
      <c r="D361" s="222"/>
      <c r="E361" s="258" t="s">
        <v>463</v>
      </c>
      <c r="F361" s="258"/>
      <c r="G361" s="224"/>
      <c r="H361" s="224"/>
      <c r="I361" s="225">
        <v>6480000</v>
      </c>
      <c r="J361" s="225">
        <v>1620000</v>
      </c>
      <c r="K361" s="225">
        <f>[1]Nov!I385</f>
        <v>4860000</v>
      </c>
      <c r="L361" s="225"/>
      <c r="M361" s="225"/>
      <c r="N361" s="225">
        <f t="shared" ref="N361" si="291">J361+K361</f>
        <v>6480000</v>
      </c>
      <c r="O361" s="225">
        <f t="shared" ref="O361" si="292">I361-N361</f>
        <v>0</v>
      </c>
      <c r="P361" s="225"/>
      <c r="Q361" s="225">
        <f>N361</f>
        <v>6480000</v>
      </c>
      <c r="R361" s="225"/>
      <c r="S361" s="225"/>
      <c r="T361" s="225"/>
      <c r="U361" s="225"/>
      <c r="V361" s="222"/>
      <c r="W361" s="283"/>
    </row>
    <row r="362" spans="1:23" x14ac:dyDescent="0.25">
      <c r="A362" s="233"/>
      <c r="B362" s="223"/>
      <c r="C362" s="223"/>
      <c r="D362" s="222"/>
      <c r="E362" s="258"/>
      <c r="F362" s="236"/>
      <c r="G362" s="224"/>
      <c r="H362" s="224"/>
      <c r="I362" s="225"/>
      <c r="J362" s="225"/>
      <c r="K362" s="225"/>
      <c r="L362" s="225"/>
      <c r="M362" s="225"/>
      <c r="N362" s="225"/>
      <c r="O362" s="225"/>
      <c r="P362" s="225"/>
      <c r="Q362" s="225"/>
      <c r="R362" s="225"/>
      <c r="S362" s="225"/>
      <c r="T362" s="225"/>
      <c r="U362" s="225"/>
      <c r="V362" s="222"/>
      <c r="W362" s="281"/>
    </row>
    <row r="363" spans="1:23" ht="60" x14ac:dyDescent="0.25">
      <c r="A363" s="232"/>
      <c r="B363" s="215" t="s">
        <v>519</v>
      </c>
      <c r="C363" s="232"/>
      <c r="D363" s="214"/>
      <c r="E363" s="236" t="s">
        <v>520</v>
      </c>
      <c r="F363" s="236" t="s">
        <v>712</v>
      </c>
      <c r="G363" s="216"/>
      <c r="H363" s="216"/>
      <c r="I363" s="217">
        <f>I364</f>
        <v>16367500</v>
      </c>
      <c r="J363" s="217">
        <f>J364</f>
        <v>1657500</v>
      </c>
      <c r="K363" s="217">
        <f>K364</f>
        <v>14095750</v>
      </c>
      <c r="L363" s="217"/>
      <c r="M363" s="217"/>
      <c r="N363" s="217">
        <f>N364</f>
        <v>15753250</v>
      </c>
      <c r="O363" s="217">
        <f>O364</f>
        <v>614250</v>
      </c>
      <c r="P363" s="217"/>
      <c r="Q363" s="217">
        <f t="shared" ref="Q363:U363" si="293">Q364</f>
        <v>15753250</v>
      </c>
      <c r="R363" s="217">
        <f t="shared" si="293"/>
        <v>0</v>
      </c>
      <c r="S363" s="217">
        <f t="shared" si="293"/>
        <v>0</v>
      </c>
      <c r="T363" s="217">
        <f t="shared" si="293"/>
        <v>0</v>
      </c>
      <c r="U363" s="217">
        <f t="shared" si="293"/>
        <v>0</v>
      </c>
      <c r="V363" s="214"/>
      <c r="W363" s="281"/>
    </row>
    <row r="364" spans="1:23" x14ac:dyDescent="0.25">
      <c r="A364" s="232"/>
      <c r="B364" s="215" t="s">
        <v>519</v>
      </c>
      <c r="C364" s="215" t="s">
        <v>359</v>
      </c>
      <c r="D364" s="214"/>
      <c r="E364" s="236" t="s">
        <v>67</v>
      </c>
      <c r="F364" s="236"/>
      <c r="G364" s="216"/>
      <c r="H364" s="216"/>
      <c r="I364" s="217">
        <f>I365+I369</f>
        <v>16367500</v>
      </c>
      <c r="J364" s="217">
        <f>J365+J369</f>
        <v>1657500</v>
      </c>
      <c r="K364" s="217">
        <f>K365+K369</f>
        <v>14095750</v>
      </c>
      <c r="L364" s="217"/>
      <c r="M364" s="217"/>
      <c r="N364" s="217">
        <f>N365+N369</f>
        <v>15753250</v>
      </c>
      <c r="O364" s="217">
        <f>O365+O369</f>
        <v>614250</v>
      </c>
      <c r="P364" s="217"/>
      <c r="Q364" s="217">
        <f t="shared" ref="Q364:U364" si="294">Q365+Q369</f>
        <v>15753250</v>
      </c>
      <c r="R364" s="217">
        <f t="shared" si="294"/>
        <v>0</v>
      </c>
      <c r="S364" s="217">
        <f t="shared" si="294"/>
        <v>0</v>
      </c>
      <c r="T364" s="217">
        <f t="shared" si="294"/>
        <v>0</v>
      </c>
      <c r="U364" s="217">
        <f t="shared" si="294"/>
        <v>0</v>
      </c>
      <c r="V364" s="214"/>
      <c r="W364" s="281"/>
    </row>
    <row r="365" spans="1:23" x14ac:dyDescent="0.25">
      <c r="A365" s="234"/>
      <c r="B365" s="219" t="s">
        <v>519</v>
      </c>
      <c r="C365" s="219" t="s">
        <v>360</v>
      </c>
      <c r="D365" s="218"/>
      <c r="E365" s="277" t="s">
        <v>361</v>
      </c>
      <c r="F365" s="277"/>
      <c r="G365" s="220"/>
      <c r="H365" s="220"/>
      <c r="I365" s="221">
        <f>SUM(I366:I368)</f>
        <v>3497500</v>
      </c>
      <c r="J365" s="221">
        <f>SUM(J366:J368)</f>
        <v>585000</v>
      </c>
      <c r="K365" s="221">
        <f>SUM(K366:K368)</f>
        <v>2298250</v>
      </c>
      <c r="L365" s="221"/>
      <c r="M365" s="221"/>
      <c r="N365" s="221">
        <f>SUM(N366:N368)</f>
        <v>2883250</v>
      </c>
      <c r="O365" s="221">
        <f>SUM(O366:O368)</f>
        <v>614250</v>
      </c>
      <c r="P365" s="221"/>
      <c r="Q365" s="221">
        <f t="shared" ref="Q365:U365" si="295">SUM(Q366:Q368)</f>
        <v>2883250</v>
      </c>
      <c r="R365" s="221">
        <f t="shared" si="295"/>
        <v>0</v>
      </c>
      <c r="S365" s="221">
        <f t="shared" si="295"/>
        <v>0</v>
      </c>
      <c r="T365" s="221">
        <f t="shared" si="295"/>
        <v>0</v>
      </c>
      <c r="U365" s="221">
        <f t="shared" si="295"/>
        <v>0</v>
      </c>
      <c r="V365" s="218"/>
      <c r="W365" s="282"/>
    </row>
    <row r="366" spans="1:23" ht="30" x14ac:dyDescent="0.25">
      <c r="A366" s="233"/>
      <c r="B366" s="223" t="s">
        <v>519</v>
      </c>
      <c r="C366" s="223" t="s">
        <v>362</v>
      </c>
      <c r="D366" s="222"/>
      <c r="E366" s="258" t="s">
        <v>363</v>
      </c>
      <c r="F366" s="258"/>
      <c r="G366" s="224"/>
      <c r="H366" s="224"/>
      <c r="I366" s="225">
        <v>180000</v>
      </c>
      <c r="J366" s="225">
        <v>0</v>
      </c>
      <c r="K366" s="225">
        <f>[1]Nov!I390</f>
        <v>180000</v>
      </c>
      <c r="L366" s="225"/>
      <c r="M366" s="225"/>
      <c r="N366" s="225">
        <f t="shared" ref="N366:N368" si="296">J366+K366</f>
        <v>180000</v>
      </c>
      <c r="O366" s="225">
        <f t="shared" ref="O366:O368" si="297">I366-N366</f>
        <v>0</v>
      </c>
      <c r="P366" s="225"/>
      <c r="Q366" s="225">
        <f>N366</f>
        <v>180000</v>
      </c>
      <c r="R366" s="225"/>
      <c r="S366" s="225"/>
      <c r="T366" s="225"/>
      <c r="U366" s="225"/>
      <c r="V366" s="222"/>
      <c r="W366" s="283"/>
    </row>
    <row r="367" spans="1:23" ht="30" x14ac:dyDescent="0.25">
      <c r="A367" s="233"/>
      <c r="B367" s="223" t="s">
        <v>519</v>
      </c>
      <c r="C367" s="223" t="s">
        <v>366</v>
      </c>
      <c r="D367" s="222"/>
      <c r="E367" s="258" t="s">
        <v>367</v>
      </c>
      <c r="F367" s="258"/>
      <c r="G367" s="224"/>
      <c r="H367" s="224"/>
      <c r="I367" s="225">
        <v>100000</v>
      </c>
      <c r="J367" s="225">
        <v>0</v>
      </c>
      <c r="K367" s="225">
        <f>[1]Nov!I391</f>
        <v>100000</v>
      </c>
      <c r="L367" s="225"/>
      <c r="M367" s="225"/>
      <c r="N367" s="225">
        <f t="shared" si="296"/>
        <v>100000</v>
      </c>
      <c r="O367" s="225">
        <f t="shared" si="297"/>
        <v>0</v>
      </c>
      <c r="P367" s="225"/>
      <c r="Q367" s="225">
        <f t="shared" ref="Q367:Q368" si="298">N367</f>
        <v>100000</v>
      </c>
      <c r="R367" s="225"/>
      <c r="S367" s="225"/>
      <c r="T367" s="225"/>
      <c r="U367" s="225"/>
      <c r="V367" s="222"/>
      <c r="W367" s="283"/>
    </row>
    <row r="368" spans="1:23" ht="30" x14ac:dyDescent="0.25">
      <c r="A368" s="233"/>
      <c r="B368" s="223" t="s">
        <v>519</v>
      </c>
      <c r="C368" s="223" t="s">
        <v>368</v>
      </c>
      <c r="D368" s="222"/>
      <c r="E368" s="258" t="s">
        <v>369</v>
      </c>
      <c r="F368" s="258"/>
      <c r="G368" s="224"/>
      <c r="H368" s="224"/>
      <c r="I368" s="225">
        <v>3217500</v>
      </c>
      <c r="J368" s="225">
        <v>585000</v>
      </c>
      <c r="K368" s="225">
        <f>[1]Nov!I392</f>
        <v>2018250</v>
      </c>
      <c r="L368" s="225"/>
      <c r="M368" s="225"/>
      <c r="N368" s="225">
        <f t="shared" si="296"/>
        <v>2603250</v>
      </c>
      <c r="O368" s="225">
        <f t="shared" si="297"/>
        <v>614250</v>
      </c>
      <c r="P368" s="225"/>
      <c r="Q368" s="225">
        <f t="shared" si="298"/>
        <v>2603250</v>
      </c>
      <c r="R368" s="225"/>
      <c r="S368" s="225"/>
      <c r="T368" s="225"/>
      <c r="U368" s="225"/>
      <c r="V368" s="222"/>
      <c r="W368" s="283"/>
    </row>
    <row r="369" spans="1:23" x14ac:dyDescent="0.25">
      <c r="A369" s="234"/>
      <c r="B369" s="219" t="s">
        <v>519</v>
      </c>
      <c r="C369" s="219" t="s">
        <v>370</v>
      </c>
      <c r="D369" s="218"/>
      <c r="E369" s="277" t="s">
        <v>81</v>
      </c>
      <c r="F369" s="277"/>
      <c r="G369" s="220"/>
      <c r="H369" s="220"/>
      <c r="I369" s="221">
        <f>SUM(I370)</f>
        <v>12870000</v>
      </c>
      <c r="J369" s="221">
        <f>SUM(J370)</f>
        <v>1072500</v>
      </c>
      <c r="K369" s="221">
        <f>SUM(K370)</f>
        <v>11797500</v>
      </c>
      <c r="L369" s="221"/>
      <c r="M369" s="221"/>
      <c r="N369" s="221">
        <f>SUM(N370)</f>
        <v>12870000</v>
      </c>
      <c r="O369" s="221">
        <f>SUM(O370)</f>
        <v>0</v>
      </c>
      <c r="P369" s="221"/>
      <c r="Q369" s="221">
        <f t="shared" ref="Q369:U369" si="299">SUM(Q370)</f>
        <v>12870000</v>
      </c>
      <c r="R369" s="221">
        <f t="shared" si="299"/>
        <v>0</v>
      </c>
      <c r="S369" s="221">
        <f t="shared" si="299"/>
        <v>0</v>
      </c>
      <c r="T369" s="221">
        <f t="shared" si="299"/>
        <v>0</v>
      </c>
      <c r="U369" s="221">
        <f t="shared" si="299"/>
        <v>0</v>
      </c>
      <c r="V369" s="218"/>
      <c r="W369" s="283"/>
    </row>
    <row r="370" spans="1:23" x14ac:dyDescent="0.25">
      <c r="A370" s="233"/>
      <c r="B370" s="223" t="s">
        <v>519</v>
      </c>
      <c r="C370" s="223" t="s">
        <v>398</v>
      </c>
      <c r="D370" s="222"/>
      <c r="E370" s="258" t="s">
        <v>399</v>
      </c>
      <c r="F370" s="258"/>
      <c r="G370" s="224"/>
      <c r="H370" s="224"/>
      <c r="I370" s="225">
        <v>12870000</v>
      </c>
      <c r="J370" s="225">
        <v>1072500</v>
      </c>
      <c r="K370" s="225">
        <f>[1]Nov!I394</f>
        <v>11797500</v>
      </c>
      <c r="L370" s="225"/>
      <c r="M370" s="225"/>
      <c r="N370" s="225">
        <f t="shared" ref="N370" si="300">J370+K370</f>
        <v>12870000</v>
      </c>
      <c r="O370" s="225">
        <f t="shared" ref="O370" si="301">I370-N370</f>
        <v>0</v>
      </c>
      <c r="P370" s="225"/>
      <c r="Q370" s="225">
        <f>N370</f>
        <v>12870000</v>
      </c>
      <c r="R370" s="225"/>
      <c r="S370" s="225"/>
      <c r="T370" s="225"/>
      <c r="U370" s="225"/>
      <c r="V370" s="222"/>
      <c r="W370" s="281"/>
    </row>
    <row r="371" spans="1:23" x14ac:dyDescent="0.25">
      <c r="A371" s="233"/>
      <c r="B371" s="223"/>
      <c r="C371" s="223"/>
      <c r="D371" s="222"/>
      <c r="E371" s="258"/>
      <c r="F371" s="258"/>
      <c r="G371" s="224"/>
      <c r="H371" s="224"/>
      <c r="I371" s="225"/>
      <c r="J371" s="225"/>
      <c r="K371" s="225"/>
      <c r="L371" s="225"/>
      <c r="M371" s="225"/>
      <c r="N371" s="225"/>
      <c r="O371" s="225"/>
      <c r="P371" s="225"/>
      <c r="Q371" s="225"/>
      <c r="R371" s="225"/>
      <c r="S371" s="225"/>
      <c r="T371" s="225"/>
      <c r="U371" s="225"/>
      <c r="V371" s="222"/>
      <c r="W371" s="282"/>
    </row>
    <row r="372" spans="1:23" ht="45" x14ac:dyDescent="0.25">
      <c r="A372" s="232"/>
      <c r="B372" s="215" t="s">
        <v>521</v>
      </c>
      <c r="C372" s="232"/>
      <c r="D372" s="214"/>
      <c r="E372" s="236" t="s">
        <v>522</v>
      </c>
      <c r="F372" s="236" t="s">
        <v>713</v>
      </c>
      <c r="G372" s="216"/>
      <c r="H372" s="216"/>
      <c r="I372" s="217">
        <f>I373</f>
        <v>2270000</v>
      </c>
      <c r="J372" s="217">
        <f>J373</f>
        <v>0</v>
      </c>
      <c r="K372" s="217">
        <f>K373</f>
        <v>2270000</v>
      </c>
      <c r="L372" s="217"/>
      <c r="M372" s="217"/>
      <c r="N372" s="217">
        <f>N373</f>
        <v>2270000</v>
      </c>
      <c r="O372" s="217">
        <f>O373</f>
        <v>0</v>
      </c>
      <c r="P372" s="217"/>
      <c r="Q372" s="217">
        <f t="shared" ref="Q372:U372" si="302">Q373</f>
        <v>2270000</v>
      </c>
      <c r="R372" s="217">
        <f t="shared" si="302"/>
        <v>0</v>
      </c>
      <c r="S372" s="217">
        <f t="shared" si="302"/>
        <v>0</v>
      </c>
      <c r="T372" s="217">
        <f t="shared" si="302"/>
        <v>0</v>
      </c>
      <c r="U372" s="217">
        <f t="shared" si="302"/>
        <v>0</v>
      </c>
      <c r="V372" s="214"/>
      <c r="W372" s="283"/>
    </row>
    <row r="373" spans="1:23" x14ac:dyDescent="0.25">
      <c r="A373" s="232"/>
      <c r="B373" s="215" t="s">
        <v>521</v>
      </c>
      <c r="C373" s="215" t="s">
        <v>359</v>
      </c>
      <c r="D373" s="214"/>
      <c r="E373" s="236" t="s">
        <v>67</v>
      </c>
      <c r="F373" s="236"/>
      <c r="G373" s="216"/>
      <c r="H373" s="216"/>
      <c r="I373" s="217">
        <f>I374+I377</f>
        <v>2270000</v>
      </c>
      <c r="J373" s="217">
        <f>J374+J377</f>
        <v>0</v>
      </c>
      <c r="K373" s="217">
        <f>K374+K377</f>
        <v>2270000</v>
      </c>
      <c r="L373" s="217"/>
      <c r="M373" s="217"/>
      <c r="N373" s="217">
        <f>N374+N377</f>
        <v>2270000</v>
      </c>
      <c r="O373" s="217">
        <f>O374+O377</f>
        <v>0</v>
      </c>
      <c r="P373" s="217"/>
      <c r="Q373" s="217">
        <f t="shared" ref="Q373:U373" si="303">Q374+Q377</f>
        <v>2270000</v>
      </c>
      <c r="R373" s="217">
        <f t="shared" si="303"/>
        <v>0</v>
      </c>
      <c r="S373" s="217">
        <f t="shared" si="303"/>
        <v>0</v>
      </c>
      <c r="T373" s="217">
        <f t="shared" si="303"/>
        <v>0</v>
      </c>
      <c r="U373" s="217">
        <f t="shared" si="303"/>
        <v>0</v>
      </c>
      <c r="V373" s="214"/>
      <c r="W373" s="283"/>
    </row>
    <row r="374" spans="1:23" x14ac:dyDescent="0.25">
      <c r="A374" s="234"/>
      <c r="B374" s="219" t="s">
        <v>521</v>
      </c>
      <c r="C374" s="219" t="s">
        <v>360</v>
      </c>
      <c r="D374" s="218"/>
      <c r="E374" s="277" t="s">
        <v>361</v>
      </c>
      <c r="F374" s="277"/>
      <c r="G374" s="220"/>
      <c r="H374" s="220"/>
      <c r="I374" s="221">
        <f>SUM(I375:I376)</f>
        <v>1070000</v>
      </c>
      <c r="J374" s="221">
        <f>SUM(J375:J376)</f>
        <v>0</v>
      </c>
      <c r="K374" s="221">
        <f>SUM(K375:K376)</f>
        <v>1070000</v>
      </c>
      <c r="L374" s="221"/>
      <c r="M374" s="221"/>
      <c r="N374" s="221">
        <f>SUM(N375:N376)</f>
        <v>1070000</v>
      </c>
      <c r="O374" s="221">
        <f>SUM(O375:O376)</f>
        <v>0</v>
      </c>
      <c r="P374" s="221"/>
      <c r="Q374" s="221">
        <f t="shared" ref="Q374:U374" si="304">SUM(Q375:Q376)</f>
        <v>1070000</v>
      </c>
      <c r="R374" s="221">
        <f t="shared" si="304"/>
        <v>0</v>
      </c>
      <c r="S374" s="221">
        <f t="shared" si="304"/>
        <v>0</v>
      </c>
      <c r="T374" s="221">
        <f t="shared" si="304"/>
        <v>0</v>
      </c>
      <c r="U374" s="221">
        <f t="shared" si="304"/>
        <v>0</v>
      </c>
      <c r="V374" s="218"/>
      <c r="W374" s="283"/>
    </row>
    <row r="375" spans="1:23" x14ac:dyDescent="0.25">
      <c r="A375" s="233"/>
      <c r="B375" s="223" t="s">
        <v>521</v>
      </c>
      <c r="C375" s="223" t="s">
        <v>366</v>
      </c>
      <c r="D375" s="222"/>
      <c r="E375" s="224" t="s">
        <v>367</v>
      </c>
      <c r="F375" s="258"/>
      <c r="G375" s="224"/>
      <c r="H375" s="224"/>
      <c r="I375" s="225">
        <v>30000</v>
      </c>
      <c r="J375" s="225">
        <v>0</v>
      </c>
      <c r="K375" s="225">
        <f>[1]Nov!I399</f>
        <v>30000</v>
      </c>
      <c r="L375" s="225"/>
      <c r="M375" s="225"/>
      <c r="N375" s="225">
        <f t="shared" ref="N375:N376" si="305">J375+K375</f>
        <v>30000</v>
      </c>
      <c r="O375" s="225">
        <f t="shared" ref="O375:O376" si="306">I375-N375</f>
        <v>0</v>
      </c>
      <c r="P375" s="225"/>
      <c r="Q375" s="225">
        <f>N375</f>
        <v>30000</v>
      </c>
      <c r="R375" s="225"/>
      <c r="S375" s="225"/>
      <c r="T375" s="225"/>
      <c r="U375" s="225"/>
      <c r="V375" s="222"/>
      <c r="W375" s="283"/>
    </row>
    <row r="376" spans="1:23" x14ac:dyDescent="0.25">
      <c r="A376" s="233"/>
      <c r="B376" s="223" t="s">
        <v>521</v>
      </c>
      <c r="C376" s="223" t="s">
        <v>368</v>
      </c>
      <c r="D376" s="222"/>
      <c r="E376" s="224" t="s">
        <v>369</v>
      </c>
      <c r="F376" s="258"/>
      <c r="G376" s="224"/>
      <c r="H376" s="224"/>
      <c r="I376" s="225">
        <v>1040000</v>
      </c>
      <c r="J376" s="225">
        <v>0</v>
      </c>
      <c r="K376" s="225">
        <f>[1]Nov!I400</f>
        <v>1040000</v>
      </c>
      <c r="L376" s="225"/>
      <c r="M376" s="225"/>
      <c r="N376" s="225">
        <f t="shared" si="305"/>
        <v>1040000</v>
      </c>
      <c r="O376" s="225">
        <f t="shared" si="306"/>
        <v>0</v>
      </c>
      <c r="P376" s="225"/>
      <c r="Q376" s="225">
        <f>N376</f>
        <v>1040000</v>
      </c>
      <c r="R376" s="225"/>
      <c r="S376" s="225"/>
      <c r="T376" s="225"/>
      <c r="U376" s="225"/>
      <c r="V376" s="222"/>
      <c r="W376" s="283"/>
    </row>
    <row r="377" spans="1:23" x14ac:dyDescent="0.25">
      <c r="A377" s="234"/>
      <c r="B377" s="219" t="s">
        <v>521</v>
      </c>
      <c r="C377" s="219" t="s">
        <v>370</v>
      </c>
      <c r="D377" s="218"/>
      <c r="E377" s="220" t="s">
        <v>81</v>
      </c>
      <c r="F377" s="277"/>
      <c r="G377" s="220"/>
      <c r="H377" s="220"/>
      <c r="I377" s="221">
        <f>SUM(I378:I379)</f>
        <v>1200000</v>
      </c>
      <c r="J377" s="221">
        <f>SUM(J378:J379)</f>
        <v>0</v>
      </c>
      <c r="K377" s="221">
        <f>SUM(K378:K379)</f>
        <v>1200000</v>
      </c>
      <c r="L377" s="221"/>
      <c r="M377" s="221"/>
      <c r="N377" s="221">
        <f>SUM(N378:N379)</f>
        <v>1200000</v>
      </c>
      <c r="O377" s="221">
        <f>SUM(O378:O379)</f>
        <v>0</v>
      </c>
      <c r="P377" s="221"/>
      <c r="Q377" s="221">
        <f t="shared" ref="Q377:U377" si="307">SUM(Q378:Q379)</f>
        <v>1200000</v>
      </c>
      <c r="R377" s="221">
        <f t="shared" si="307"/>
        <v>0</v>
      </c>
      <c r="S377" s="221">
        <f t="shared" si="307"/>
        <v>0</v>
      </c>
      <c r="T377" s="221">
        <f t="shared" si="307"/>
        <v>0</v>
      </c>
      <c r="U377" s="221">
        <f t="shared" si="307"/>
        <v>0</v>
      </c>
      <c r="V377" s="218"/>
      <c r="W377" s="281"/>
    </row>
    <row r="378" spans="1:23" ht="30" x14ac:dyDescent="0.25">
      <c r="A378" s="233"/>
      <c r="B378" s="223" t="s">
        <v>521</v>
      </c>
      <c r="C378" s="223" t="s">
        <v>476</v>
      </c>
      <c r="D378" s="222"/>
      <c r="E378" s="258" t="s">
        <v>477</v>
      </c>
      <c r="F378" s="258"/>
      <c r="G378" s="224"/>
      <c r="H378" s="224"/>
      <c r="I378" s="225">
        <v>450000</v>
      </c>
      <c r="J378" s="225">
        <v>0</v>
      </c>
      <c r="K378" s="225">
        <f>[1]Nov!I402</f>
        <v>450000</v>
      </c>
      <c r="L378" s="225"/>
      <c r="M378" s="225"/>
      <c r="N378" s="225">
        <f t="shared" ref="N378:N379" si="308">J378+K378</f>
        <v>450000</v>
      </c>
      <c r="O378" s="225">
        <f t="shared" ref="O378:O379" si="309">I378-N378</f>
        <v>0</v>
      </c>
      <c r="P378" s="225"/>
      <c r="Q378" s="225">
        <f>N378</f>
        <v>450000</v>
      </c>
      <c r="R378" s="225"/>
      <c r="S378" s="225"/>
      <c r="T378" s="225"/>
      <c r="U378" s="225"/>
      <c r="V378" s="222"/>
      <c r="W378" s="281"/>
    </row>
    <row r="379" spans="1:23" ht="30" x14ac:dyDescent="0.25">
      <c r="A379" s="243"/>
      <c r="B379" s="244" t="s">
        <v>521</v>
      </c>
      <c r="C379" s="244" t="s">
        <v>478</v>
      </c>
      <c r="D379" s="245"/>
      <c r="E379" s="295" t="s">
        <v>479</v>
      </c>
      <c r="F379" s="295"/>
      <c r="G379" s="246"/>
      <c r="H379" s="246"/>
      <c r="I379" s="247">
        <v>750000</v>
      </c>
      <c r="J379" s="247">
        <v>0</v>
      </c>
      <c r="K379" s="225">
        <f>[1]Nov!I403</f>
        <v>750000</v>
      </c>
      <c r="L379" s="247"/>
      <c r="M379" s="247"/>
      <c r="N379" s="247">
        <f t="shared" si="308"/>
        <v>750000</v>
      </c>
      <c r="O379" s="247">
        <f t="shared" si="309"/>
        <v>0</v>
      </c>
      <c r="P379" s="247"/>
      <c r="Q379" s="225">
        <f>N379</f>
        <v>750000</v>
      </c>
      <c r="R379" s="247"/>
      <c r="S379" s="247"/>
      <c r="T379" s="247"/>
      <c r="U379" s="247"/>
      <c r="V379" s="245"/>
      <c r="W379" s="282"/>
    </row>
    <row r="380" spans="1:23" x14ac:dyDescent="0.25">
      <c r="A380" s="233"/>
      <c r="B380" s="223"/>
      <c r="C380" s="223"/>
      <c r="D380" s="222"/>
      <c r="E380" s="224"/>
      <c r="F380" s="258"/>
      <c r="G380" s="224"/>
      <c r="H380" s="224"/>
      <c r="I380" s="225"/>
      <c r="J380" s="225"/>
      <c r="K380" s="225"/>
      <c r="L380" s="225"/>
      <c r="M380" s="225"/>
      <c r="N380" s="225"/>
      <c r="O380" s="225"/>
      <c r="P380" s="225"/>
      <c r="Q380" s="225"/>
      <c r="R380" s="225"/>
      <c r="S380" s="225"/>
      <c r="T380" s="225"/>
      <c r="U380" s="225"/>
      <c r="V380" s="222"/>
      <c r="W380" s="282"/>
    </row>
    <row r="381" spans="1:23" x14ac:dyDescent="0.25">
      <c r="A381" s="249"/>
      <c r="B381" s="250" t="s">
        <v>523</v>
      </c>
      <c r="C381" s="249"/>
      <c r="D381" s="252" t="s">
        <v>102</v>
      </c>
      <c r="E381" s="251"/>
      <c r="F381" s="296"/>
      <c r="G381" s="251"/>
      <c r="H381" s="251"/>
      <c r="I381" s="253">
        <f>I382+I396+I409+I421+I431</f>
        <v>588646942</v>
      </c>
      <c r="J381" s="253">
        <f>J382+J396+J409+J421+J431</f>
        <v>18494130</v>
      </c>
      <c r="K381" s="253">
        <f>K382+K396+K409+K421+K431</f>
        <v>304450700</v>
      </c>
      <c r="L381" s="253"/>
      <c r="M381" s="253"/>
      <c r="N381" s="253">
        <f>N382+N396+N409+N421+N431</f>
        <v>322944830</v>
      </c>
      <c r="O381" s="253">
        <f>O382+O396+O409+O421+O431</f>
        <v>265702112</v>
      </c>
      <c r="P381" s="253"/>
      <c r="Q381" s="253">
        <f>Q382+Q396+Q409+Q421+Q431</f>
        <v>322944830</v>
      </c>
      <c r="R381" s="253">
        <f>R382+R396+R409+R421+R431</f>
        <v>0</v>
      </c>
      <c r="S381" s="253">
        <f>S382+S396+S409+S421+S431</f>
        <v>0</v>
      </c>
      <c r="T381" s="253">
        <f>T382+T396+T409+T421+T431</f>
        <v>0</v>
      </c>
      <c r="U381" s="253">
        <f>U382+U396+U409+U421+U431</f>
        <v>0</v>
      </c>
      <c r="V381" s="251"/>
      <c r="W381" s="283"/>
    </row>
    <row r="382" spans="1:23" ht="60" x14ac:dyDescent="0.25">
      <c r="A382" s="232"/>
      <c r="B382" s="215" t="s">
        <v>524</v>
      </c>
      <c r="C382" s="232"/>
      <c r="D382" s="214"/>
      <c r="E382" s="236" t="s">
        <v>525</v>
      </c>
      <c r="F382" s="236" t="s">
        <v>714</v>
      </c>
      <c r="G382" s="216"/>
      <c r="H382" s="216"/>
      <c r="I382" s="217">
        <f>I383+I389</f>
        <v>531695942</v>
      </c>
      <c r="J382" s="217">
        <f>J383+J389</f>
        <v>0</v>
      </c>
      <c r="K382" s="217">
        <f>K383+K389</f>
        <v>294514700</v>
      </c>
      <c r="L382" s="217"/>
      <c r="M382" s="217"/>
      <c r="N382" s="217">
        <f>N383+N389</f>
        <v>294514700</v>
      </c>
      <c r="O382" s="217">
        <f>O383+O389</f>
        <v>237181242</v>
      </c>
      <c r="P382" s="217"/>
      <c r="Q382" s="217">
        <f t="shared" ref="Q382:U382" si="310">Q383+Q389</f>
        <v>294514700</v>
      </c>
      <c r="R382" s="217">
        <f t="shared" si="310"/>
        <v>0</v>
      </c>
      <c r="S382" s="217">
        <f t="shared" si="310"/>
        <v>0</v>
      </c>
      <c r="T382" s="217">
        <f t="shared" si="310"/>
        <v>0</v>
      </c>
      <c r="U382" s="217">
        <f t="shared" si="310"/>
        <v>0</v>
      </c>
      <c r="V382" s="214"/>
      <c r="W382" s="281"/>
    </row>
    <row r="383" spans="1:23" x14ac:dyDescent="0.25">
      <c r="A383" s="232"/>
      <c r="B383" s="215" t="s">
        <v>524</v>
      </c>
      <c r="C383" s="215" t="s">
        <v>359</v>
      </c>
      <c r="D383" s="214"/>
      <c r="E383" s="216" t="s">
        <v>67</v>
      </c>
      <c r="F383" s="236"/>
      <c r="G383" s="216"/>
      <c r="H383" s="216"/>
      <c r="I383" s="217">
        <f>I384</f>
        <v>1658462</v>
      </c>
      <c r="J383" s="217">
        <f>J384</f>
        <v>0</v>
      </c>
      <c r="K383" s="217">
        <f>K384</f>
        <v>644750</v>
      </c>
      <c r="L383" s="217"/>
      <c r="M383" s="217"/>
      <c r="N383" s="217">
        <f>N384</f>
        <v>644750</v>
      </c>
      <c r="O383" s="217">
        <f>O384</f>
        <v>1013712</v>
      </c>
      <c r="P383" s="217"/>
      <c r="Q383" s="217">
        <f t="shared" ref="Q383:U383" si="311">Q384</f>
        <v>644750</v>
      </c>
      <c r="R383" s="217">
        <f t="shared" si="311"/>
        <v>0</v>
      </c>
      <c r="S383" s="217">
        <f t="shared" si="311"/>
        <v>0</v>
      </c>
      <c r="T383" s="217">
        <f t="shared" si="311"/>
        <v>0</v>
      </c>
      <c r="U383" s="217">
        <f t="shared" si="311"/>
        <v>0</v>
      </c>
      <c r="V383" s="214"/>
      <c r="W383" s="282"/>
    </row>
    <row r="384" spans="1:23" x14ac:dyDescent="0.25">
      <c r="A384" s="234"/>
      <c r="B384" s="219" t="s">
        <v>524</v>
      </c>
      <c r="C384" s="219" t="s">
        <v>360</v>
      </c>
      <c r="D384" s="218"/>
      <c r="E384" s="220" t="s">
        <v>361</v>
      </c>
      <c r="F384" s="277"/>
      <c r="G384" s="220"/>
      <c r="H384" s="220"/>
      <c r="I384" s="221">
        <f>SUM(I385:I388)</f>
        <v>1658462</v>
      </c>
      <c r="J384" s="221">
        <f>SUM(J385:J388)</f>
        <v>0</v>
      </c>
      <c r="K384" s="221">
        <f>SUM(K385:K388)</f>
        <v>644750</v>
      </c>
      <c r="L384" s="221"/>
      <c r="M384" s="221"/>
      <c r="N384" s="221">
        <f>SUM(N385:N388)</f>
        <v>644750</v>
      </c>
      <c r="O384" s="221">
        <f>SUM(O385:O388)</f>
        <v>1013712</v>
      </c>
      <c r="P384" s="221"/>
      <c r="Q384" s="221">
        <f t="shared" ref="Q384:U384" si="312">SUM(Q385:Q388)</f>
        <v>644750</v>
      </c>
      <c r="R384" s="221">
        <f t="shared" si="312"/>
        <v>0</v>
      </c>
      <c r="S384" s="221">
        <f t="shared" si="312"/>
        <v>0</v>
      </c>
      <c r="T384" s="221">
        <f t="shared" si="312"/>
        <v>0</v>
      </c>
      <c r="U384" s="221">
        <f t="shared" si="312"/>
        <v>0</v>
      </c>
      <c r="V384" s="218"/>
      <c r="W384" s="283"/>
    </row>
    <row r="385" spans="1:23" x14ac:dyDescent="0.25">
      <c r="A385" s="233"/>
      <c r="B385" s="223" t="s">
        <v>524</v>
      </c>
      <c r="C385" s="223" t="s">
        <v>362</v>
      </c>
      <c r="D385" s="222"/>
      <c r="E385" s="224" t="s">
        <v>363</v>
      </c>
      <c r="F385" s="258"/>
      <c r="G385" s="224"/>
      <c r="H385" s="224"/>
      <c r="I385" s="225">
        <v>125000</v>
      </c>
      <c r="J385" s="225">
        <v>0</v>
      </c>
      <c r="K385" s="225">
        <f>[1]Nov!I409</f>
        <v>50000</v>
      </c>
      <c r="L385" s="225"/>
      <c r="M385" s="225"/>
      <c r="N385" s="225">
        <f t="shared" ref="N385:N388" si="313">J385+K385</f>
        <v>50000</v>
      </c>
      <c r="O385" s="225">
        <f t="shared" ref="O385:O388" si="314">I385-N385</f>
        <v>75000</v>
      </c>
      <c r="P385" s="225"/>
      <c r="Q385" s="225">
        <f>N385</f>
        <v>50000</v>
      </c>
      <c r="R385" s="225"/>
      <c r="S385" s="225"/>
      <c r="T385" s="225"/>
      <c r="U385" s="225"/>
      <c r="V385" s="222"/>
      <c r="W385" s="283"/>
    </row>
    <row r="386" spans="1:23" x14ac:dyDescent="0.25">
      <c r="A386" s="233"/>
      <c r="B386" s="223" t="s">
        <v>524</v>
      </c>
      <c r="C386" s="223" t="s">
        <v>366</v>
      </c>
      <c r="D386" s="222"/>
      <c r="E386" s="224" t="s">
        <v>367</v>
      </c>
      <c r="F386" s="258"/>
      <c r="G386" s="224"/>
      <c r="H386" s="224"/>
      <c r="I386" s="225">
        <v>170962</v>
      </c>
      <c r="J386" s="225">
        <v>0</v>
      </c>
      <c r="K386" s="225">
        <f>[1]Nov!I410</f>
        <v>69750</v>
      </c>
      <c r="L386" s="225"/>
      <c r="M386" s="225"/>
      <c r="N386" s="225">
        <f t="shared" si="313"/>
        <v>69750</v>
      </c>
      <c r="O386" s="225">
        <f t="shared" si="314"/>
        <v>101212</v>
      </c>
      <c r="P386" s="225"/>
      <c r="Q386" s="225">
        <f t="shared" ref="Q386:Q388" si="315">N386</f>
        <v>69750</v>
      </c>
      <c r="R386" s="225"/>
      <c r="S386" s="225"/>
      <c r="T386" s="225"/>
      <c r="U386" s="225"/>
      <c r="V386" s="222"/>
      <c r="W386" s="283"/>
    </row>
    <row r="387" spans="1:23" x14ac:dyDescent="0.25">
      <c r="A387" s="233"/>
      <c r="B387" s="223" t="s">
        <v>524</v>
      </c>
      <c r="C387" s="223" t="s">
        <v>368</v>
      </c>
      <c r="D387" s="222"/>
      <c r="E387" s="224" t="s">
        <v>369</v>
      </c>
      <c r="F387" s="258"/>
      <c r="G387" s="224"/>
      <c r="H387" s="224"/>
      <c r="I387" s="225">
        <v>487500</v>
      </c>
      <c r="J387" s="225">
        <v>0</v>
      </c>
      <c r="K387" s="225">
        <f>[1]Nov!I411</f>
        <v>0</v>
      </c>
      <c r="L387" s="225"/>
      <c r="M387" s="225"/>
      <c r="N387" s="225">
        <f t="shared" si="313"/>
        <v>0</v>
      </c>
      <c r="O387" s="225">
        <f t="shared" si="314"/>
        <v>487500</v>
      </c>
      <c r="P387" s="225"/>
      <c r="Q387" s="225">
        <f t="shared" si="315"/>
        <v>0</v>
      </c>
      <c r="R387" s="225"/>
      <c r="S387" s="225"/>
      <c r="T387" s="225"/>
      <c r="U387" s="225"/>
      <c r="V387" s="222"/>
      <c r="W387" s="283"/>
    </row>
    <row r="388" spans="1:23" x14ac:dyDescent="0.25">
      <c r="A388" s="233"/>
      <c r="B388" s="223" t="s">
        <v>524</v>
      </c>
      <c r="C388" s="223" t="s">
        <v>487</v>
      </c>
      <c r="D388" s="222"/>
      <c r="E388" s="224" t="s">
        <v>488</v>
      </c>
      <c r="F388" s="258"/>
      <c r="G388" s="224"/>
      <c r="H388" s="224"/>
      <c r="I388" s="225">
        <v>875000</v>
      </c>
      <c r="J388" s="225">
        <v>0</v>
      </c>
      <c r="K388" s="225">
        <f>[1]Nov!I412</f>
        <v>525000</v>
      </c>
      <c r="L388" s="225"/>
      <c r="M388" s="225"/>
      <c r="N388" s="225">
        <f t="shared" si="313"/>
        <v>525000</v>
      </c>
      <c r="O388" s="225">
        <f t="shared" si="314"/>
        <v>350000</v>
      </c>
      <c r="P388" s="225"/>
      <c r="Q388" s="225">
        <f t="shared" si="315"/>
        <v>525000</v>
      </c>
      <c r="R388" s="225"/>
      <c r="S388" s="225"/>
      <c r="T388" s="225"/>
      <c r="U388" s="225"/>
      <c r="V388" s="222"/>
      <c r="W388" s="281"/>
    </row>
    <row r="389" spans="1:23" x14ac:dyDescent="0.25">
      <c r="A389" s="232"/>
      <c r="B389" s="215" t="s">
        <v>524</v>
      </c>
      <c r="C389" s="215" t="s">
        <v>404</v>
      </c>
      <c r="D389" s="214"/>
      <c r="E389" s="216" t="s">
        <v>68</v>
      </c>
      <c r="F389" s="236"/>
      <c r="G389" s="216"/>
      <c r="H389" s="216"/>
      <c r="I389" s="217">
        <f>I390</f>
        <v>530037480</v>
      </c>
      <c r="J389" s="217">
        <f>J390</f>
        <v>0</v>
      </c>
      <c r="K389" s="217">
        <f>K390</f>
        <v>293869950</v>
      </c>
      <c r="L389" s="217"/>
      <c r="M389" s="217"/>
      <c r="N389" s="217">
        <f>N390</f>
        <v>293869950</v>
      </c>
      <c r="O389" s="217">
        <f>O390</f>
        <v>236167530</v>
      </c>
      <c r="P389" s="217"/>
      <c r="Q389" s="217">
        <f t="shared" ref="Q389:U389" si="316">Q390</f>
        <v>293869950</v>
      </c>
      <c r="R389" s="217">
        <f t="shared" si="316"/>
        <v>0</v>
      </c>
      <c r="S389" s="217">
        <f t="shared" si="316"/>
        <v>0</v>
      </c>
      <c r="T389" s="217">
        <f t="shared" si="316"/>
        <v>0</v>
      </c>
      <c r="U389" s="217">
        <f t="shared" si="316"/>
        <v>0</v>
      </c>
      <c r="V389" s="214"/>
      <c r="W389" s="281"/>
    </row>
    <row r="390" spans="1:23" x14ac:dyDescent="0.25">
      <c r="A390" s="234"/>
      <c r="B390" s="219" t="s">
        <v>524</v>
      </c>
      <c r="C390" s="219" t="s">
        <v>526</v>
      </c>
      <c r="D390" s="218"/>
      <c r="E390" s="220" t="s">
        <v>527</v>
      </c>
      <c r="F390" s="277"/>
      <c r="G390" s="220"/>
      <c r="H390" s="220"/>
      <c r="I390" s="221">
        <f>SUM(I391:I394)</f>
        <v>530037480</v>
      </c>
      <c r="J390" s="221">
        <f>SUM(J391:J394)</f>
        <v>0</v>
      </c>
      <c r="K390" s="221">
        <f>SUM(K391:K394)</f>
        <v>293869950</v>
      </c>
      <c r="L390" s="221"/>
      <c r="M390" s="221"/>
      <c r="N390" s="221">
        <f>SUM(N391:N394)</f>
        <v>293869950</v>
      </c>
      <c r="O390" s="221">
        <f>SUM(O391:O394)</f>
        <v>236167530</v>
      </c>
      <c r="P390" s="221"/>
      <c r="Q390" s="221">
        <f t="shared" ref="Q390:U390" si="317">SUM(Q391:Q394)</f>
        <v>293869950</v>
      </c>
      <c r="R390" s="221">
        <f t="shared" si="317"/>
        <v>0</v>
      </c>
      <c r="S390" s="221">
        <f t="shared" si="317"/>
        <v>0</v>
      </c>
      <c r="T390" s="221">
        <f t="shared" si="317"/>
        <v>0</v>
      </c>
      <c r="U390" s="221">
        <f t="shared" si="317"/>
        <v>0</v>
      </c>
      <c r="V390" s="218"/>
      <c r="W390" s="282"/>
    </row>
    <row r="391" spans="1:23" ht="30" x14ac:dyDescent="0.25">
      <c r="A391" s="233"/>
      <c r="B391" s="223" t="s">
        <v>524</v>
      </c>
      <c r="C391" s="223" t="s">
        <v>528</v>
      </c>
      <c r="D391" s="222"/>
      <c r="E391" s="258" t="s">
        <v>529</v>
      </c>
      <c r="F391" s="258"/>
      <c r="G391" s="224"/>
      <c r="H391" s="224"/>
      <c r="I391" s="225">
        <v>7500000</v>
      </c>
      <c r="J391" s="225">
        <v>0</v>
      </c>
      <c r="K391" s="225">
        <f>[1]Nov!I415</f>
        <v>5000000</v>
      </c>
      <c r="L391" s="225"/>
      <c r="M391" s="225"/>
      <c r="N391" s="225">
        <f t="shared" ref="N391:N394" si="318">J391+K391</f>
        <v>5000000</v>
      </c>
      <c r="O391" s="225">
        <f t="shared" ref="O391:O394" si="319">I391-N391</f>
        <v>2500000</v>
      </c>
      <c r="P391" s="225"/>
      <c r="Q391" s="225">
        <f>N391</f>
        <v>5000000</v>
      </c>
      <c r="R391" s="225"/>
      <c r="S391" s="225"/>
      <c r="T391" s="225"/>
      <c r="U391" s="225"/>
      <c r="V391" s="222"/>
      <c r="W391" s="283"/>
    </row>
    <row r="392" spans="1:23" x14ac:dyDescent="0.25">
      <c r="A392" s="233"/>
      <c r="B392" s="223" t="s">
        <v>524</v>
      </c>
      <c r="C392" s="223" t="s">
        <v>530</v>
      </c>
      <c r="D392" s="222"/>
      <c r="E392" s="224" t="s">
        <v>531</v>
      </c>
      <c r="F392" s="258"/>
      <c r="G392" s="224"/>
      <c r="H392" s="224"/>
      <c r="I392" s="225">
        <v>134322000</v>
      </c>
      <c r="J392" s="225">
        <v>0</v>
      </c>
      <c r="K392" s="225">
        <f>[1]Nov!I416</f>
        <v>98902000</v>
      </c>
      <c r="L392" s="225"/>
      <c r="M392" s="225"/>
      <c r="N392" s="225">
        <f t="shared" si="318"/>
        <v>98902000</v>
      </c>
      <c r="O392" s="225">
        <f t="shared" si="319"/>
        <v>35420000</v>
      </c>
      <c r="P392" s="225"/>
      <c r="Q392" s="225">
        <f t="shared" ref="Q392:Q393" si="320">N392</f>
        <v>98902000</v>
      </c>
      <c r="R392" s="225"/>
      <c r="S392" s="225"/>
      <c r="T392" s="225"/>
      <c r="U392" s="225"/>
      <c r="V392" s="222"/>
      <c r="W392" s="283"/>
    </row>
    <row r="393" spans="1:23" ht="30" x14ac:dyDescent="0.25">
      <c r="A393" s="233"/>
      <c r="B393" s="223" t="s">
        <v>524</v>
      </c>
      <c r="C393" s="223" t="s">
        <v>532</v>
      </c>
      <c r="D393" s="222"/>
      <c r="E393" s="258" t="s">
        <v>533</v>
      </c>
      <c r="F393" s="258"/>
      <c r="G393" s="224"/>
      <c r="H393" s="224"/>
      <c r="I393" s="225">
        <v>359620000</v>
      </c>
      <c r="J393" s="225">
        <v>0</v>
      </c>
      <c r="K393" s="225">
        <f>[1]Nov!I417</f>
        <v>189967950</v>
      </c>
      <c r="L393" s="225"/>
      <c r="M393" s="225"/>
      <c r="N393" s="225">
        <f t="shared" si="318"/>
        <v>189967950</v>
      </c>
      <c r="O393" s="225">
        <f t="shared" si="319"/>
        <v>169652050</v>
      </c>
      <c r="P393" s="225"/>
      <c r="Q393" s="225">
        <f t="shared" si="320"/>
        <v>189967950</v>
      </c>
      <c r="R393" s="225"/>
      <c r="S393" s="225"/>
      <c r="T393" s="225"/>
      <c r="U393" s="225"/>
      <c r="V393" s="222"/>
      <c r="W393" s="283"/>
    </row>
    <row r="394" spans="1:23" x14ac:dyDescent="0.25">
      <c r="A394" s="243"/>
      <c r="B394" s="244" t="s">
        <v>524</v>
      </c>
      <c r="C394" s="244" t="s">
        <v>534</v>
      </c>
      <c r="D394" s="245"/>
      <c r="E394" s="246" t="s">
        <v>535</v>
      </c>
      <c r="F394" s="295"/>
      <c r="G394" s="246"/>
      <c r="H394" s="246"/>
      <c r="I394" s="247">
        <v>28595480</v>
      </c>
      <c r="J394" s="247">
        <v>0</v>
      </c>
      <c r="K394" s="225">
        <f>[1]Nov!I418</f>
        <v>0</v>
      </c>
      <c r="L394" s="247"/>
      <c r="M394" s="247"/>
      <c r="N394" s="247">
        <f t="shared" si="318"/>
        <v>0</v>
      </c>
      <c r="O394" s="247">
        <f t="shared" si="319"/>
        <v>28595480</v>
      </c>
      <c r="P394" s="247"/>
      <c r="Q394" s="247"/>
      <c r="R394" s="247"/>
      <c r="S394" s="247"/>
      <c r="T394" s="247"/>
      <c r="U394" s="247"/>
      <c r="V394" s="245"/>
      <c r="W394" s="283"/>
    </row>
    <row r="395" spans="1:23" x14ac:dyDescent="0.25">
      <c r="A395" s="264"/>
      <c r="B395" s="289"/>
      <c r="C395" s="289"/>
      <c r="D395" s="265"/>
      <c r="E395" s="290"/>
      <c r="F395" s="297"/>
      <c r="G395" s="290"/>
      <c r="H395" s="290"/>
      <c r="I395" s="270"/>
      <c r="J395" s="270"/>
      <c r="K395" s="270"/>
      <c r="L395" s="270"/>
      <c r="M395" s="270"/>
      <c r="N395" s="270"/>
      <c r="O395" s="270"/>
      <c r="P395" s="270"/>
      <c r="Q395" s="270"/>
      <c r="R395" s="270"/>
      <c r="S395" s="270"/>
      <c r="T395" s="270"/>
      <c r="U395" s="270"/>
      <c r="V395" s="265"/>
      <c r="W395" s="281"/>
    </row>
    <row r="396" spans="1:23" ht="45" x14ac:dyDescent="0.25">
      <c r="A396" s="249"/>
      <c r="B396" s="254" t="s">
        <v>536</v>
      </c>
      <c r="C396" s="249"/>
      <c r="D396" s="251"/>
      <c r="E396" s="255" t="s">
        <v>537</v>
      </c>
      <c r="F396" s="255"/>
      <c r="G396" s="255"/>
      <c r="H396" s="255"/>
      <c r="I396" s="256">
        <f>I397+I403</f>
        <v>0</v>
      </c>
      <c r="J396" s="256">
        <f>J397+J403</f>
        <v>0</v>
      </c>
      <c r="K396" s="256">
        <f>K397+K403</f>
        <v>0</v>
      </c>
      <c r="L396" s="256"/>
      <c r="M396" s="256"/>
      <c r="N396" s="256">
        <f>N397+N403</f>
        <v>0</v>
      </c>
      <c r="O396" s="256">
        <f>O397+O403</f>
        <v>0</v>
      </c>
      <c r="P396" s="256"/>
      <c r="Q396" s="256"/>
      <c r="R396" s="256"/>
      <c r="S396" s="256"/>
      <c r="T396" s="256"/>
      <c r="U396" s="256"/>
      <c r="V396" s="251"/>
      <c r="W396" s="283"/>
    </row>
    <row r="397" spans="1:23" x14ac:dyDescent="0.25">
      <c r="A397" s="232"/>
      <c r="B397" s="215" t="s">
        <v>536</v>
      </c>
      <c r="C397" s="215" t="s">
        <v>359</v>
      </c>
      <c r="D397" s="214"/>
      <c r="E397" s="216" t="s">
        <v>67</v>
      </c>
      <c r="F397" s="236"/>
      <c r="G397" s="216"/>
      <c r="H397" s="216"/>
      <c r="I397" s="217">
        <f>I398</f>
        <v>0</v>
      </c>
      <c r="J397" s="217">
        <f>J398</f>
        <v>0</v>
      </c>
      <c r="K397" s="217">
        <f>K398</f>
        <v>0</v>
      </c>
      <c r="L397" s="217"/>
      <c r="M397" s="217"/>
      <c r="N397" s="217">
        <f>N398</f>
        <v>0</v>
      </c>
      <c r="O397" s="217">
        <f>O398</f>
        <v>0</v>
      </c>
      <c r="P397" s="217"/>
      <c r="Q397" s="217"/>
      <c r="R397" s="217"/>
      <c r="S397" s="217"/>
      <c r="T397" s="217"/>
      <c r="U397" s="217"/>
      <c r="V397" s="214"/>
      <c r="W397" s="283"/>
    </row>
    <row r="398" spans="1:23" x14ac:dyDescent="0.25">
      <c r="A398" s="234"/>
      <c r="B398" s="219" t="s">
        <v>536</v>
      </c>
      <c r="C398" s="219" t="s">
        <v>360</v>
      </c>
      <c r="D398" s="218"/>
      <c r="E398" s="220" t="s">
        <v>361</v>
      </c>
      <c r="F398" s="277"/>
      <c r="G398" s="220"/>
      <c r="H398" s="220"/>
      <c r="I398" s="221">
        <f>SUM(I399:I402)</f>
        <v>0</v>
      </c>
      <c r="J398" s="221">
        <f>SUM(J399:J402)</f>
        <v>0</v>
      </c>
      <c r="K398" s="221">
        <f>SUM(K399:K402)</f>
        <v>0</v>
      </c>
      <c r="L398" s="221"/>
      <c r="M398" s="221"/>
      <c r="N398" s="221">
        <f>SUM(N399:N402)</f>
        <v>0</v>
      </c>
      <c r="O398" s="221">
        <f>SUM(O399:O402)</f>
        <v>0</v>
      </c>
      <c r="P398" s="221"/>
      <c r="Q398" s="221"/>
      <c r="R398" s="221"/>
      <c r="S398" s="221"/>
      <c r="T398" s="221"/>
      <c r="U398" s="221"/>
      <c r="V398" s="218"/>
      <c r="W398" s="283"/>
    </row>
    <row r="399" spans="1:23" x14ac:dyDescent="0.25">
      <c r="A399" s="233"/>
      <c r="B399" s="223" t="s">
        <v>536</v>
      </c>
      <c r="C399" s="223" t="s">
        <v>362</v>
      </c>
      <c r="D399" s="222"/>
      <c r="E399" s="224" t="s">
        <v>363</v>
      </c>
      <c r="F399" s="258"/>
      <c r="G399" s="224"/>
      <c r="H399" s="224"/>
      <c r="I399" s="225">
        <v>0</v>
      </c>
      <c r="J399" s="225">
        <v>0</v>
      </c>
      <c r="K399" s="225">
        <f>[1]Nov!I426</f>
        <v>0</v>
      </c>
      <c r="L399" s="225"/>
      <c r="M399" s="225"/>
      <c r="N399" s="225">
        <f t="shared" ref="N399:N402" si="321">J399+K399</f>
        <v>0</v>
      </c>
      <c r="O399" s="225">
        <f t="shared" ref="O399:O402" si="322">I399-N399</f>
        <v>0</v>
      </c>
      <c r="P399" s="225"/>
      <c r="Q399" s="225"/>
      <c r="R399" s="225"/>
      <c r="S399" s="225"/>
      <c r="T399" s="225"/>
      <c r="U399" s="225"/>
      <c r="V399" s="222"/>
      <c r="W399" s="283"/>
    </row>
    <row r="400" spans="1:23" x14ac:dyDescent="0.25">
      <c r="A400" s="233"/>
      <c r="B400" s="223" t="s">
        <v>536</v>
      </c>
      <c r="C400" s="223" t="s">
        <v>366</v>
      </c>
      <c r="D400" s="222"/>
      <c r="E400" s="224" t="s">
        <v>367</v>
      </c>
      <c r="F400" s="258"/>
      <c r="G400" s="224"/>
      <c r="H400" s="224"/>
      <c r="I400" s="225">
        <v>0</v>
      </c>
      <c r="J400" s="225">
        <v>0</v>
      </c>
      <c r="K400" s="225">
        <f>[1]Nov!I427</f>
        <v>0</v>
      </c>
      <c r="L400" s="225"/>
      <c r="M400" s="225"/>
      <c r="N400" s="225">
        <f t="shared" si="321"/>
        <v>0</v>
      </c>
      <c r="O400" s="225">
        <f t="shared" si="322"/>
        <v>0</v>
      </c>
      <c r="P400" s="225"/>
      <c r="Q400" s="225"/>
      <c r="R400" s="225"/>
      <c r="S400" s="225"/>
      <c r="T400" s="225"/>
      <c r="U400" s="225"/>
      <c r="V400" s="222"/>
      <c r="W400" s="281"/>
    </row>
    <row r="401" spans="1:23" x14ac:dyDescent="0.25">
      <c r="A401" s="233"/>
      <c r="B401" s="223" t="s">
        <v>536</v>
      </c>
      <c r="C401" s="223" t="s">
        <v>368</v>
      </c>
      <c r="D401" s="222"/>
      <c r="E401" s="224" t="s">
        <v>369</v>
      </c>
      <c r="F401" s="258"/>
      <c r="G401" s="224"/>
      <c r="H401" s="224"/>
      <c r="I401" s="225">
        <v>0</v>
      </c>
      <c r="J401" s="225">
        <v>0</v>
      </c>
      <c r="K401" s="225">
        <f>[1]Nov!I428</f>
        <v>0</v>
      </c>
      <c r="L401" s="225"/>
      <c r="M401" s="225"/>
      <c r="N401" s="225">
        <f t="shared" si="321"/>
        <v>0</v>
      </c>
      <c r="O401" s="225">
        <f t="shared" si="322"/>
        <v>0</v>
      </c>
      <c r="P401" s="225"/>
      <c r="Q401" s="225"/>
      <c r="R401" s="225"/>
      <c r="S401" s="225"/>
      <c r="T401" s="225"/>
      <c r="U401" s="225"/>
      <c r="V401" s="222"/>
      <c r="W401" s="281"/>
    </row>
    <row r="402" spans="1:23" x14ac:dyDescent="0.25">
      <c r="A402" s="233"/>
      <c r="B402" s="223" t="s">
        <v>536</v>
      </c>
      <c r="C402" s="223" t="s">
        <v>487</v>
      </c>
      <c r="D402" s="222"/>
      <c r="E402" s="224" t="s">
        <v>488</v>
      </c>
      <c r="F402" s="258"/>
      <c r="G402" s="224"/>
      <c r="H402" s="224"/>
      <c r="I402" s="225">
        <v>0</v>
      </c>
      <c r="J402" s="225">
        <v>0</v>
      </c>
      <c r="K402" s="225">
        <f>[1]Nov!I429</f>
        <v>0</v>
      </c>
      <c r="L402" s="225"/>
      <c r="M402" s="225"/>
      <c r="N402" s="225">
        <f t="shared" si="321"/>
        <v>0</v>
      </c>
      <c r="O402" s="225">
        <f t="shared" si="322"/>
        <v>0</v>
      </c>
      <c r="P402" s="225"/>
      <c r="Q402" s="225"/>
      <c r="R402" s="225"/>
      <c r="S402" s="225"/>
      <c r="T402" s="225"/>
      <c r="U402" s="225"/>
      <c r="V402" s="222"/>
      <c r="W402" s="282"/>
    </row>
    <row r="403" spans="1:23" x14ac:dyDescent="0.25">
      <c r="A403" s="232"/>
      <c r="B403" s="215" t="s">
        <v>536</v>
      </c>
      <c r="C403" s="215" t="s">
        <v>404</v>
      </c>
      <c r="D403" s="214"/>
      <c r="E403" s="216" t="s">
        <v>68</v>
      </c>
      <c r="F403" s="236"/>
      <c r="G403" s="216"/>
      <c r="H403" s="216"/>
      <c r="I403" s="217">
        <f>I404</f>
        <v>0</v>
      </c>
      <c r="J403" s="217">
        <f>J404</f>
        <v>0</v>
      </c>
      <c r="K403" s="217">
        <f>K404</f>
        <v>0</v>
      </c>
      <c r="L403" s="217"/>
      <c r="M403" s="217"/>
      <c r="N403" s="217">
        <f>N404</f>
        <v>0</v>
      </c>
      <c r="O403" s="217">
        <f>O404</f>
        <v>0</v>
      </c>
      <c r="P403" s="217"/>
      <c r="Q403" s="217"/>
      <c r="R403" s="217"/>
      <c r="S403" s="217"/>
      <c r="T403" s="217"/>
      <c r="U403" s="217"/>
      <c r="V403" s="214"/>
      <c r="W403" s="283"/>
    </row>
    <row r="404" spans="1:23" x14ac:dyDescent="0.25">
      <c r="A404" s="234"/>
      <c r="B404" s="219" t="s">
        <v>536</v>
      </c>
      <c r="C404" s="219" t="s">
        <v>526</v>
      </c>
      <c r="D404" s="218"/>
      <c r="E404" s="220" t="s">
        <v>527</v>
      </c>
      <c r="F404" s="277"/>
      <c r="G404" s="220"/>
      <c r="H404" s="220"/>
      <c r="I404" s="221">
        <f>SUM(I405:I407)</f>
        <v>0</v>
      </c>
      <c r="J404" s="221">
        <f>SUM(J405:J407)</f>
        <v>0</v>
      </c>
      <c r="K404" s="221">
        <f>SUM(K405:K407)</f>
        <v>0</v>
      </c>
      <c r="L404" s="221"/>
      <c r="M404" s="221"/>
      <c r="N404" s="221">
        <f>SUM(N405:N407)</f>
        <v>0</v>
      </c>
      <c r="O404" s="221">
        <f>SUM(O405:O407)</f>
        <v>0</v>
      </c>
      <c r="P404" s="221"/>
      <c r="Q404" s="221"/>
      <c r="R404" s="221"/>
      <c r="S404" s="221"/>
      <c r="T404" s="221"/>
      <c r="U404" s="221"/>
      <c r="V404" s="218"/>
      <c r="W404" s="283"/>
    </row>
    <row r="405" spans="1:23" ht="30" x14ac:dyDescent="0.25">
      <c r="A405" s="233"/>
      <c r="B405" s="223" t="s">
        <v>536</v>
      </c>
      <c r="C405" s="223" t="s">
        <v>528</v>
      </c>
      <c r="D405" s="222"/>
      <c r="E405" s="258" t="s">
        <v>529</v>
      </c>
      <c r="F405" s="258"/>
      <c r="G405" s="224"/>
      <c r="H405" s="224"/>
      <c r="I405" s="225">
        <v>0</v>
      </c>
      <c r="J405" s="225">
        <v>0</v>
      </c>
      <c r="K405" s="225">
        <f>[1]Nov!I432</f>
        <v>0</v>
      </c>
      <c r="L405" s="225"/>
      <c r="M405" s="225"/>
      <c r="N405" s="225">
        <f t="shared" ref="N405:N407" si="323">J405+K405</f>
        <v>0</v>
      </c>
      <c r="O405" s="225">
        <f t="shared" ref="O405:O407" si="324">I405-N405</f>
        <v>0</v>
      </c>
      <c r="P405" s="225"/>
      <c r="Q405" s="225"/>
      <c r="R405" s="225"/>
      <c r="S405" s="225"/>
      <c r="T405" s="225"/>
      <c r="U405" s="225"/>
      <c r="V405" s="222"/>
      <c r="W405" s="281"/>
    </row>
    <row r="406" spans="1:23" x14ac:dyDescent="0.25">
      <c r="A406" s="233"/>
      <c r="B406" s="223" t="s">
        <v>536</v>
      </c>
      <c r="C406" s="223" t="s">
        <v>532</v>
      </c>
      <c r="D406" s="222"/>
      <c r="E406" s="224" t="s">
        <v>533</v>
      </c>
      <c r="F406" s="258"/>
      <c r="G406" s="224"/>
      <c r="H406" s="224"/>
      <c r="I406" s="225">
        <v>0</v>
      </c>
      <c r="J406" s="225">
        <v>0</v>
      </c>
      <c r="K406" s="225">
        <f>[1]Nov!I433</f>
        <v>0</v>
      </c>
      <c r="L406" s="225"/>
      <c r="M406" s="225"/>
      <c r="N406" s="225">
        <f t="shared" si="323"/>
        <v>0</v>
      </c>
      <c r="O406" s="225">
        <f t="shared" si="324"/>
        <v>0</v>
      </c>
      <c r="P406" s="225"/>
      <c r="Q406" s="225"/>
      <c r="R406" s="225"/>
      <c r="S406" s="225"/>
      <c r="T406" s="225"/>
      <c r="U406" s="225"/>
      <c r="V406" s="222"/>
      <c r="W406" s="282"/>
    </row>
    <row r="407" spans="1:23" x14ac:dyDescent="0.25">
      <c r="A407" s="233"/>
      <c r="B407" s="223" t="s">
        <v>536</v>
      </c>
      <c r="C407" s="223" t="s">
        <v>534</v>
      </c>
      <c r="D407" s="222"/>
      <c r="E407" s="224" t="s">
        <v>535</v>
      </c>
      <c r="F407" s="258"/>
      <c r="G407" s="224"/>
      <c r="H407" s="224"/>
      <c r="I407" s="225">
        <v>0</v>
      </c>
      <c r="J407" s="225">
        <v>0</v>
      </c>
      <c r="K407" s="225">
        <f>[1]Nov!I434</f>
        <v>0</v>
      </c>
      <c r="L407" s="225"/>
      <c r="M407" s="225"/>
      <c r="N407" s="225">
        <f t="shared" si="323"/>
        <v>0</v>
      </c>
      <c r="O407" s="225">
        <f t="shared" si="324"/>
        <v>0</v>
      </c>
      <c r="P407" s="225"/>
      <c r="Q407" s="225"/>
      <c r="R407" s="225"/>
      <c r="S407" s="225"/>
      <c r="T407" s="225"/>
      <c r="U407" s="225"/>
      <c r="V407" s="222"/>
      <c r="W407" s="283"/>
    </row>
    <row r="408" spans="1:23" x14ac:dyDescent="0.25">
      <c r="A408" s="233"/>
      <c r="B408" s="223"/>
      <c r="C408" s="223"/>
      <c r="D408" s="222"/>
      <c r="E408" s="224"/>
      <c r="F408" s="258"/>
      <c r="G408" s="224"/>
      <c r="H408" s="224"/>
      <c r="I408" s="225"/>
      <c r="J408" s="225"/>
      <c r="K408" s="225"/>
      <c r="L408" s="225"/>
      <c r="M408" s="225"/>
      <c r="N408" s="225"/>
      <c r="O408" s="225"/>
      <c r="P408" s="225"/>
      <c r="Q408" s="225"/>
      <c r="R408" s="225"/>
      <c r="S408" s="225"/>
      <c r="T408" s="225"/>
      <c r="U408" s="225"/>
      <c r="V408" s="222"/>
      <c r="W408" s="283"/>
    </row>
    <row r="409" spans="1:23" ht="45" x14ac:dyDescent="0.25">
      <c r="A409" s="232"/>
      <c r="B409" s="242" t="s">
        <v>538</v>
      </c>
      <c r="C409" s="232"/>
      <c r="D409" s="214"/>
      <c r="E409" s="236" t="s">
        <v>539</v>
      </c>
      <c r="F409" s="236"/>
      <c r="G409" s="236"/>
      <c r="H409" s="236"/>
      <c r="I409" s="237">
        <f>I410+I416</f>
        <v>0</v>
      </c>
      <c r="J409" s="237">
        <f>J410+J416</f>
        <v>0</v>
      </c>
      <c r="K409" s="237">
        <f>K410+K416</f>
        <v>0</v>
      </c>
      <c r="L409" s="237"/>
      <c r="M409" s="237"/>
      <c r="N409" s="237">
        <f>N410+N416</f>
        <v>0</v>
      </c>
      <c r="O409" s="237">
        <f>O410+O416</f>
        <v>0</v>
      </c>
      <c r="P409" s="237"/>
      <c r="Q409" s="237"/>
      <c r="R409" s="237"/>
      <c r="S409" s="237"/>
      <c r="T409" s="237"/>
      <c r="U409" s="237"/>
      <c r="V409" s="214"/>
      <c r="W409" s="283"/>
    </row>
    <row r="410" spans="1:23" x14ac:dyDescent="0.25">
      <c r="A410" s="232"/>
      <c r="B410" s="215" t="s">
        <v>538</v>
      </c>
      <c r="C410" s="215" t="s">
        <v>359</v>
      </c>
      <c r="D410" s="214"/>
      <c r="E410" s="216" t="s">
        <v>67</v>
      </c>
      <c r="F410" s="236"/>
      <c r="G410" s="216"/>
      <c r="H410" s="216"/>
      <c r="I410" s="217">
        <f>I411</f>
        <v>0</v>
      </c>
      <c r="J410" s="217">
        <f>J411</f>
        <v>0</v>
      </c>
      <c r="K410" s="217">
        <f>K411</f>
        <v>0</v>
      </c>
      <c r="L410" s="217"/>
      <c r="M410" s="217"/>
      <c r="N410" s="217">
        <f>N411</f>
        <v>0</v>
      </c>
      <c r="O410" s="217">
        <f>O411</f>
        <v>0</v>
      </c>
      <c r="P410" s="217"/>
      <c r="Q410" s="217"/>
      <c r="R410" s="217"/>
      <c r="S410" s="217"/>
      <c r="T410" s="217"/>
      <c r="U410" s="217"/>
      <c r="V410" s="214"/>
      <c r="W410" s="281"/>
    </row>
    <row r="411" spans="1:23" x14ac:dyDescent="0.25">
      <c r="A411" s="234"/>
      <c r="B411" s="219" t="s">
        <v>538</v>
      </c>
      <c r="C411" s="219" t="s">
        <v>360</v>
      </c>
      <c r="D411" s="218"/>
      <c r="E411" s="220" t="s">
        <v>361</v>
      </c>
      <c r="F411" s="277"/>
      <c r="G411" s="220"/>
      <c r="H411" s="220"/>
      <c r="I411" s="221">
        <f>SUM(I412:I415)</f>
        <v>0</v>
      </c>
      <c r="J411" s="221">
        <f>SUM(J412:J415)</f>
        <v>0</v>
      </c>
      <c r="K411" s="221">
        <f>SUM(K412:K415)</f>
        <v>0</v>
      </c>
      <c r="L411" s="221"/>
      <c r="M411" s="221"/>
      <c r="N411" s="221">
        <f>SUM(N412:N415)</f>
        <v>0</v>
      </c>
      <c r="O411" s="221">
        <f>SUM(O412:O415)</f>
        <v>0</v>
      </c>
      <c r="P411" s="221"/>
      <c r="Q411" s="221"/>
      <c r="R411" s="221"/>
      <c r="S411" s="221"/>
      <c r="T411" s="221"/>
      <c r="U411" s="221"/>
      <c r="V411" s="218"/>
      <c r="W411" s="281"/>
    </row>
    <row r="412" spans="1:23" x14ac:dyDescent="0.25">
      <c r="A412" s="233"/>
      <c r="B412" s="223" t="s">
        <v>538</v>
      </c>
      <c r="C412" s="223" t="s">
        <v>362</v>
      </c>
      <c r="D412" s="222"/>
      <c r="E412" s="224" t="s">
        <v>363</v>
      </c>
      <c r="F412" s="258"/>
      <c r="G412" s="224"/>
      <c r="H412" s="224"/>
      <c r="I412" s="225">
        <v>0</v>
      </c>
      <c r="J412" s="225">
        <v>0</v>
      </c>
      <c r="K412" s="225">
        <f>[1]Nov!I439</f>
        <v>0</v>
      </c>
      <c r="L412" s="225"/>
      <c r="M412" s="225"/>
      <c r="N412" s="225">
        <f t="shared" ref="N412:N415" si="325">J412+K412</f>
        <v>0</v>
      </c>
      <c r="O412" s="225">
        <f t="shared" ref="O412:O415" si="326">I412-N412</f>
        <v>0</v>
      </c>
      <c r="P412" s="225"/>
      <c r="Q412" s="225"/>
      <c r="R412" s="225"/>
      <c r="S412" s="225"/>
      <c r="T412" s="225"/>
      <c r="U412" s="225"/>
      <c r="V412" s="222"/>
      <c r="W412" s="282"/>
    </row>
    <row r="413" spans="1:23" x14ac:dyDescent="0.25">
      <c r="A413" s="233"/>
      <c r="B413" s="223" t="s">
        <v>538</v>
      </c>
      <c r="C413" s="223" t="s">
        <v>366</v>
      </c>
      <c r="D413" s="222"/>
      <c r="E413" s="224" t="s">
        <v>367</v>
      </c>
      <c r="F413" s="258"/>
      <c r="G413" s="224"/>
      <c r="H413" s="224"/>
      <c r="I413" s="225">
        <v>0</v>
      </c>
      <c r="J413" s="225">
        <v>0</v>
      </c>
      <c r="K413" s="225">
        <f>[1]Nov!I440</f>
        <v>0</v>
      </c>
      <c r="L413" s="225"/>
      <c r="M413" s="225"/>
      <c r="N413" s="225">
        <f t="shared" si="325"/>
        <v>0</v>
      </c>
      <c r="O413" s="225">
        <f t="shared" si="326"/>
        <v>0</v>
      </c>
      <c r="P413" s="225"/>
      <c r="Q413" s="225"/>
      <c r="R413" s="225"/>
      <c r="S413" s="225"/>
      <c r="T413" s="225"/>
      <c r="U413" s="225"/>
      <c r="V413" s="222"/>
      <c r="W413" s="283"/>
    </row>
    <row r="414" spans="1:23" x14ac:dyDescent="0.25">
      <c r="A414" s="233"/>
      <c r="B414" s="223" t="s">
        <v>538</v>
      </c>
      <c r="C414" s="223" t="s">
        <v>368</v>
      </c>
      <c r="D414" s="222"/>
      <c r="E414" s="224" t="s">
        <v>369</v>
      </c>
      <c r="F414" s="258"/>
      <c r="G414" s="224"/>
      <c r="H414" s="224"/>
      <c r="I414" s="225">
        <v>0</v>
      </c>
      <c r="J414" s="225">
        <v>0</v>
      </c>
      <c r="K414" s="225">
        <f>[1]Nov!I441</f>
        <v>0</v>
      </c>
      <c r="L414" s="225"/>
      <c r="M414" s="225"/>
      <c r="N414" s="225">
        <f t="shared" si="325"/>
        <v>0</v>
      </c>
      <c r="O414" s="225">
        <f t="shared" si="326"/>
        <v>0</v>
      </c>
      <c r="P414" s="225"/>
      <c r="Q414" s="225"/>
      <c r="R414" s="225"/>
      <c r="S414" s="225"/>
      <c r="T414" s="225"/>
      <c r="U414" s="225"/>
      <c r="V414" s="222"/>
      <c r="W414" s="283"/>
    </row>
    <row r="415" spans="1:23" x14ac:dyDescent="0.25">
      <c r="A415" s="233"/>
      <c r="B415" s="223" t="s">
        <v>538</v>
      </c>
      <c r="C415" s="223" t="s">
        <v>487</v>
      </c>
      <c r="D415" s="222"/>
      <c r="E415" s="224" t="s">
        <v>488</v>
      </c>
      <c r="F415" s="258"/>
      <c r="G415" s="224"/>
      <c r="H415" s="224"/>
      <c r="I415" s="225">
        <v>0</v>
      </c>
      <c r="J415" s="225">
        <v>0</v>
      </c>
      <c r="K415" s="225">
        <f>[1]Nov!I442</f>
        <v>0</v>
      </c>
      <c r="L415" s="225"/>
      <c r="M415" s="225"/>
      <c r="N415" s="225">
        <f t="shared" si="325"/>
        <v>0</v>
      </c>
      <c r="O415" s="225">
        <f t="shared" si="326"/>
        <v>0</v>
      </c>
      <c r="P415" s="225"/>
      <c r="Q415" s="225"/>
      <c r="R415" s="225"/>
      <c r="S415" s="225"/>
      <c r="T415" s="225"/>
      <c r="U415" s="225"/>
      <c r="V415" s="222"/>
      <c r="W415" s="283"/>
    </row>
    <row r="416" spans="1:23" x14ac:dyDescent="0.25">
      <c r="A416" s="232"/>
      <c r="B416" s="215" t="s">
        <v>538</v>
      </c>
      <c r="C416" s="215" t="s">
        <v>404</v>
      </c>
      <c r="D416" s="214"/>
      <c r="E416" s="216" t="s">
        <v>68</v>
      </c>
      <c r="F416" s="236"/>
      <c r="G416" s="216"/>
      <c r="H416" s="216"/>
      <c r="I416" s="217">
        <f>I417</f>
        <v>0</v>
      </c>
      <c r="J416" s="217">
        <f>J417</f>
        <v>0</v>
      </c>
      <c r="K416" s="217">
        <f>K417</f>
        <v>0</v>
      </c>
      <c r="L416" s="217"/>
      <c r="M416" s="217"/>
      <c r="N416" s="217">
        <f>N417</f>
        <v>0</v>
      </c>
      <c r="O416" s="217">
        <f>O417</f>
        <v>0</v>
      </c>
      <c r="P416" s="217"/>
      <c r="Q416" s="217"/>
      <c r="R416" s="217"/>
      <c r="S416" s="217"/>
      <c r="T416" s="217"/>
      <c r="U416" s="217"/>
      <c r="V416" s="214"/>
      <c r="W416" s="281"/>
    </row>
    <row r="417" spans="1:23" x14ac:dyDescent="0.25">
      <c r="A417" s="234"/>
      <c r="B417" s="219" t="s">
        <v>538</v>
      </c>
      <c r="C417" s="219" t="s">
        <v>526</v>
      </c>
      <c r="D417" s="218"/>
      <c r="E417" s="220" t="s">
        <v>527</v>
      </c>
      <c r="F417" s="277"/>
      <c r="G417" s="220"/>
      <c r="H417" s="220"/>
      <c r="I417" s="221">
        <f>SUM(I418:I419)</f>
        <v>0</v>
      </c>
      <c r="J417" s="221">
        <f>SUM(J418:J419)</f>
        <v>0</v>
      </c>
      <c r="K417" s="221">
        <f>SUM(K418:K419)</f>
        <v>0</v>
      </c>
      <c r="L417" s="221"/>
      <c r="M417" s="221"/>
      <c r="N417" s="221">
        <f>SUM(N418:N419)</f>
        <v>0</v>
      </c>
      <c r="O417" s="221">
        <f>SUM(O418:O419)</f>
        <v>0</v>
      </c>
      <c r="P417" s="221"/>
      <c r="Q417" s="221"/>
      <c r="R417" s="221"/>
      <c r="S417" s="221"/>
      <c r="T417" s="221"/>
      <c r="U417" s="221"/>
      <c r="V417" s="218"/>
      <c r="W417" s="282"/>
    </row>
    <row r="418" spans="1:23" ht="30" x14ac:dyDescent="0.25">
      <c r="A418" s="233"/>
      <c r="B418" s="223" t="s">
        <v>538</v>
      </c>
      <c r="C418" s="223" t="s">
        <v>528</v>
      </c>
      <c r="D418" s="222"/>
      <c r="E418" s="258" t="s">
        <v>529</v>
      </c>
      <c r="F418" s="258"/>
      <c r="G418" s="224"/>
      <c r="H418" s="224"/>
      <c r="I418" s="225">
        <v>0</v>
      </c>
      <c r="J418" s="225">
        <v>0</v>
      </c>
      <c r="K418" s="225">
        <f>[1]Nov!I445</f>
        <v>0</v>
      </c>
      <c r="L418" s="225"/>
      <c r="M418" s="225"/>
      <c r="N418" s="225">
        <f t="shared" ref="N418:N419" si="327">J418+K418</f>
        <v>0</v>
      </c>
      <c r="O418" s="225">
        <f t="shared" ref="O418:O419" si="328">I418-N418</f>
        <v>0</v>
      </c>
      <c r="P418" s="225"/>
      <c r="Q418" s="225"/>
      <c r="R418" s="225"/>
      <c r="S418" s="225"/>
      <c r="T418" s="225"/>
      <c r="U418" s="225"/>
      <c r="V418" s="222"/>
      <c r="W418" s="283"/>
    </row>
    <row r="419" spans="1:23" ht="30" x14ac:dyDescent="0.25">
      <c r="A419" s="243"/>
      <c r="B419" s="244" t="s">
        <v>538</v>
      </c>
      <c r="C419" s="244" t="s">
        <v>532</v>
      </c>
      <c r="D419" s="245"/>
      <c r="E419" s="295" t="s">
        <v>533</v>
      </c>
      <c r="F419" s="295"/>
      <c r="G419" s="246"/>
      <c r="H419" s="246"/>
      <c r="I419" s="247">
        <v>0</v>
      </c>
      <c r="J419" s="247">
        <v>0</v>
      </c>
      <c r="K419" s="225">
        <f>[1]Nov!I446</f>
        <v>0</v>
      </c>
      <c r="L419" s="247"/>
      <c r="M419" s="247"/>
      <c r="N419" s="247">
        <f t="shared" si="327"/>
        <v>0</v>
      </c>
      <c r="O419" s="247">
        <f t="shared" si="328"/>
        <v>0</v>
      </c>
      <c r="P419" s="247"/>
      <c r="Q419" s="247"/>
      <c r="R419" s="247"/>
      <c r="S419" s="247"/>
      <c r="T419" s="247"/>
      <c r="U419" s="247"/>
      <c r="V419" s="245"/>
      <c r="W419" s="283"/>
    </row>
    <row r="420" spans="1:23" x14ac:dyDescent="0.25">
      <c r="A420" s="233"/>
      <c r="B420" s="223"/>
      <c r="C420" s="223"/>
      <c r="D420" s="222"/>
      <c r="E420" s="258"/>
      <c r="F420" s="258"/>
      <c r="G420" s="224"/>
      <c r="H420" s="224"/>
      <c r="I420" s="225"/>
      <c r="J420" s="225"/>
      <c r="K420" s="225"/>
      <c r="L420" s="225"/>
      <c r="M420" s="225"/>
      <c r="N420" s="225"/>
      <c r="O420" s="225"/>
      <c r="P420" s="225"/>
      <c r="Q420" s="225"/>
      <c r="R420" s="225"/>
      <c r="S420" s="225"/>
      <c r="T420" s="225"/>
      <c r="U420" s="225"/>
      <c r="V420" s="222"/>
      <c r="W420" s="283"/>
    </row>
    <row r="421" spans="1:23" ht="45" x14ac:dyDescent="0.25">
      <c r="A421" s="249"/>
      <c r="B421" s="254" t="s">
        <v>540</v>
      </c>
      <c r="C421" s="249"/>
      <c r="D421" s="251"/>
      <c r="E421" s="255" t="s">
        <v>541</v>
      </c>
      <c r="F421" s="255" t="s">
        <v>715</v>
      </c>
      <c r="G421" s="255"/>
      <c r="H421" s="255"/>
      <c r="I421" s="256">
        <f>I422+I426</f>
        <v>25725000</v>
      </c>
      <c r="J421" s="256">
        <f>J422+J426</f>
        <v>0</v>
      </c>
      <c r="K421" s="256">
        <f>K422+K426</f>
        <v>0</v>
      </c>
      <c r="L421" s="256"/>
      <c r="M421" s="256"/>
      <c r="N421" s="256">
        <f>N422+N426</f>
        <v>0</v>
      </c>
      <c r="O421" s="256">
        <f>O422+O426</f>
        <v>25725000</v>
      </c>
      <c r="P421" s="256"/>
      <c r="Q421" s="256"/>
      <c r="R421" s="256"/>
      <c r="S421" s="256"/>
      <c r="T421" s="256"/>
      <c r="U421" s="256"/>
      <c r="V421" s="251"/>
      <c r="W421" s="281"/>
    </row>
    <row r="422" spans="1:23" x14ac:dyDescent="0.25">
      <c r="A422" s="232"/>
      <c r="B422" s="215" t="s">
        <v>540</v>
      </c>
      <c r="C422" s="215" t="s">
        <v>359</v>
      </c>
      <c r="D422" s="214"/>
      <c r="E422" s="236" t="s">
        <v>67</v>
      </c>
      <c r="F422" s="236"/>
      <c r="G422" s="216"/>
      <c r="H422" s="216"/>
      <c r="I422" s="217">
        <f>I423</f>
        <v>244000</v>
      </c>
      <c r="J422" s="217">
        <f>J423</f>
        <v>0</v>
      </c>
      <c r="K422" s="217">
        <f>K423</f>
        <v>0</v>
      </c>
      <c r="L422" s="217"/>
      <c r="M422" s="217"/>
      <c r="N422" s="217">
        <f>N423</f>
        <v>0</v>
      </c>
      <c r="O422" s="217">
        <f>O423</f>
        <v>244000</v>
      </c>
      <c r="P422" s="217"/>
      <c r="Q422" s="217"/>
      <c r="R422" s="217"/>
      <c r="S422" s="217"/>
      <c r="T422" s="217"/>
      <c r="U422" s="217"/>
      <c r="V422" s="214"/>
      <c r="W422" s="282"/>
    </row>
    <row r="423" spans="1:23" x14ac:dyDescent="0.25">
      <c r="A423" s="234"/>
      <c r="B423" s="219" t="s">
        <v>540</v>
      </c>
      <c r="C423" s="219" t="s">
        <v>360</v>
      </c>
      <c r="D423" s="218"/>
      <c r="E423" s="277" t="s">
        <v>361</v>
      </c>
      <c r="F423" s="277"/>
      <c r="G423" s="220"/>
      <c r="H423" s="220"/>
      <c r="I423" s="221">
        <f>SUM(I424:I425)</f>
        <v>244000</v>
      </c>
      <c r="J423" s="221">
        <f>SUM(J424:J425)</f>
        <v>0</v>
      </c>
      <c r="K423" s="221">
        <f>SUM(K424:K425)</f>
        <v>0</v>
      </c>
      <c r="L423" s="221"/>
      <c r="M423" s="221"/>
      <c r="N423" s="221">
        <f>SUM(N424:N425)</f>
        <v>0</v>
      </c>
      <c r="O423" s="221">
        <f>SUM(O424:O425)</f>
        <v>244000</v>
      </c>
      <c r="P423" s="221"/>
      <c r="Q423" s="221"/>
      <c r="R423" s="221"/>
      <c r="S423" s="221"/>
      <c r="T423" s="221"/>
      <c r="U423" s="221"/>
      <c r="V423" s="218"/>
      <c r="W423" s="283"/>
    </row>
    <row r="424" spans="1:23" ht="30" x14ac:dyDescent="0.25">
      <c r="A424" s="233"/>
      <c r="B424" s="223" t="s">
        <v>540</v>
      </c>
      <c r="C424" s="223" t="s">
        <v>366</v>
      </c>
      <c r="D424" s="222"/>
      <c r="E424" s="258" t="s">
        <v>367</v>
      </c>
      <c r="F424" s="258"/>
      <c r="G424" s="224"/>
      <c r="H424" s="224"/>
      <c r="I424" s="225">
        <v>69000</v>
      </c>
      <c r="J424" s="225">
        <v>0</v>
      </c>
      <c r="K424" s="225">
        <f>[1]Nov!I451</f>
        <v>0</v>
      </c>
      <c r="L424" s="225"/>
      <c r="M424" s="225"/>
      <c r="N424" s="225">
        <f t="shared" ref="N424:N425" si="329">J424+K424</f>
        <v>0</v>
      </c>
      <c r="O424" s="225">
        <f t="shared" ref="O424:O425" si="330">I424-N424</f>
        <v>69000</v>
      </c>
      <c r="P424" s="225"/>
      <c r="Q424" s="225"/>
      <c r="R424" s="225"/>
      <c r="S424" s="225"/>
      <c r="T424" s="225"/>
      <c r="U424" s="225"/>
      <c r="V424" s="222"/>
      <c r="W424" s="283"/>
    </row>
    <row r="425" spans="1:23" x14ac:dyDescent="0.25">
      <c r="A425" s="233"/>
      <c r="B425" s="223" t="s">
        <v>540</v>
      </c>
      <c r="C425" s="223" t="s">
        <v>487</v>
      </c>
      <c r="D425" s="222"/>
      <c r="E425" s="258" t="s">
        <v>488</v>
      </c>
      <c r="F425" s="258"/>
      <c r="G425" s="224"/>
      <c r="H425" s="224"/>
      <c r="I425" s="225">
        <v>175000</v>
      </c>
      <c r="J425" s="225">
        <v>0</v>
      </c>
      <c r="K425" s="225">
        <f>[1]Nov!I452</f>
        <v>0</v>
      </c>
      <c r="L425" s="225"/>
      <c r="M425" s="225"/>
      <c r="N425" s="225">
        <f t="shared" si="329"/>
        <v>0</v>
      </c>
      <c r="O425" s="225">
        <f t="shared" si="330"/>
        <v>175000</v>
      </c>
      <c r="P425" s="225"/>
      <c r="Q425" s="225"/>
      <c r="R425" s="225"/>
      <c r="S425" s="225"/>
      <c r="T425" s="225"/>
      <c r="U425" s="225"/>
      <c r="V425" s="222"/>
      <c r="W425" s="283"/>
    </row>
    <row r="426" spans="1:23" x14ac:dyDescent="0.25">
      <c r="A426" s="232"/>
      <c r="B426" s="215" t="s">
        <v>540</v>
      </c>
      <c r="C426" s="215" t="s">
        <v>404</v>
      </c>
      <c r="D426" s="214"/>
      <c r="E426" s="236" t="s">
        <v>68</v>
      </c>
      <c r="F426" s="236"/>
      <c r="G426" s="216"/>
      <c r="H426" s="216"/>
      <c r="I426" s="217">
        <f>I427</f>
        <v>25481000</v>
      </c>
      <c r="J426" s="217">
        <f>J427</f>
        <v>0</v>
      </c>
      <c r="K426" s="217">
        <f>K427</f>
        <v>0</v>
      </c>
      <c r="L426" s="217"/>
      <c r="M426" s="217"/>
      <c r="N426" s="217">
        <f>N427</f>
        <v>0</v>
      </c>
      <c r="O426" s="217">
        <f>O427</f>
        <v>25481000</v>
      </c>
      <c r="P426" s="217"/>
      <c r="Q426" s="217"/>
      <c r="R426" s="217"/>
      <c r="S426" s="217"/>
      <c r="T426" s="217"/>
      <c r="U426" s="217"/>
      <c r="V426" s="214"/>
      <c r="W426" s="282"/>
    </row>
    <row r="427" spans="1:23" ht="28.5" x14ac:dyDescent="0.25">
      <c r="A427" s="234"/>
      <c r="B427" s="219" t="s">
        <v>540</v>
      </c>
      <c r="C427" s="219" t="s">
        <v>489</v>
      </c>
      <c r="D427" s="218"/>
      <c r="E427" s="277" t="s">
        <v>490</v>
      </c>
      <c r="F427" s="277"/>
      <c r="G427" s="220"/>
      <c r="H427" s="220"/>
      <c r="I427" s="221">
        <f>SUM(I428:I429)</f>
        <v>25481000</v>
      </c>
      <c r="J427" s="221">
        <f>SUM(J428:J429)</f>
        <v>0</v>
      </c>
      <c r="K427" s="221">
        <f>SUM(K428:K429)</f>
        <v>0</v>
      </c>
      <c r="L427" s="221"/>
      <c r="M427" s="221"/>
      <c r="N427" s="221">
        <f>SUM(N428:N429)</f>
        <v>0</v>
      </c>
      <c r="O427" s="221">
        <f>SUM(O428:O429)</f>
        <v>25481000</v>
      </c>
      <c r="P427" s="221"/>
      <c r="Q427" s="221"/>
      <c r="R427" s="221"/>
      <c r="S427" s="221"/>
      <c r="T427" s="221"/>
      <c r="U427" s="221"/>
      <c r="V427" s="218"/>
      <c r="W427" s="283"/>
    </row>
    <row r="428" spans="1:23" ht="30" x14ac:dyDescent="0.25">
      <c r="A428" s="233"/>
      <c r="B428" s="223" t="s">
        <v>540</v>
      </c>
      <c r="C428" s="223" t="s">
        <v>491</v>
      </c>
      <c r="D428" s="222"/>
      <c r="E428" s="258" t="s">
        <v>492</v>
      </c>
      <c r="F428" s="258"/>
      <c r="G428" s="224"/>
      <c r="H428" s="224"/>
      <c r="I428" s="225">
        <v>550000</v>
      </c>
      <c r="J428" s="225">
        <v>0</v>
      </c>
      <c r="K428" s="225">
        <f>[1]Nov!I455</f>
        <v>0</v>
      </c>
      <c r="L428" s="225"/>
      <c r="M428" s="225"/>
      <c r="N428" s="225">
        <f t="shared" ref="N428:N429" si="331">J428+K428</f>
        <v>0</v>
      </c>
      <c r="O428" s="225">
        <f t="shared" ref="O428:O429" si="332">I428-N428</f>
        <v>550000</v>
      </c>
      <c r="P428" s="225"/>
      <c r="Q428" s="225"/>
      <c r="R428" s="225"/>
      <c r="S428" s="225"/>
      <c r="T428" s="225"/>
      <c r="U428" s="225"/>
      <c r="V428" s="222"/>
      <c r="W428" s="282"/>
    </row>
    <row r="429" spans="1:23" ht="30" x14ac:dyDescent="0.25">
      <c r="A429" s="243"/>
      <c r="B429" s="244" t="s">
        <v>540</v>
      </c>
      <c r="C429" s="244" t="s">
        <v>495</v>
      </c>
      <c r="D429" s="245"/>
      <c r="E429" s="295" t="s">
        <v>496</v>
      </c>
      <c r="F429" s="295"/>
      <c r="G429" s="246"/>
      <c r="H429" s="246"/>
      <c r="I429" s="247">
        <v>24931000</v>
      </c>
      <c r="J429" s="247">
        <v>0</v>
      </c>
      <c r="K429" s="225">
        <f>[1]Nov!I456</f>
        <v>0</v>
      </c>
      <c r="L429" s="247"/>
      <c r="M429" s="247"/>
      <c r="N429" s="247">
        <f t="shared" si="331"/>
        <v>0</v>
      </c>
      <c r="O429" s="247">
        <f t="shared" si="332"/>
        <v>24931000</v>
      </c>
      <c r="P429" s="247"/>
      <c r="Q429" s="247"/>
      <c r="R429" s="247"/>
      <c r="S429" s="247"/>
      <c r="T429" s="247"/>
      <c r="U429" s="247"/>
      <c r="V429" s="245"/>
      <c r="W429" s="283"/>
    </row>
    <row r="430" spans="1:23" x14ac:dyDescent="0.25">
      <c r="A430" s="264"/>
      <c r="B430" s="289"/>
      <c r="C430" s="289"/>
      <c r="D430" s="265"/>
      <c r="E430" s="297"/>
      <c r="F430" s="297"/>
      <c r="G430" s="290"/>
      <c r="H430" s="290"/>
      <c r="I430" s="270"/>
      <c r="J430" s="270"/>
      <c r="K430" s="270"/>
      <c r="L430" s="270"/>
      <c r="M430" s="270"/>
      <c r="N430" s="270"/>
      <c r="O430" s="270"/>
      <c r="P430" s="270"/>
      <c r="Q430" s="270"/>
      <c r="R430" s="270"/>
      <c r="S430" s="270"/>
      <c r="T430" s="270"/>
      <c r="U430" s="270"/>
      <c r="V430" s="265"/>
      <c r="W430" s="283"/>
    </row>
    <row r="431" spans="1:23" ht="45" x14ac:dyDescent="0.25">
      <c r="A431" s="249"/>
      <c r="B431" s="250" t="s">
        <v>542</v>
      </c>
      <c r="C431" s="249"/>
      <c r="D431" s="251"/>
      <c r="E431" s="255" t="s">
        <v>543</v>
      </c>
      <c r="F431" s="255" t="s">
        <v>716</v>
      </c>
      <c r="G431" s="252"/>
      <c r="H431" s="252"/>
      <c r="I431" s="253">
        <f>I432+I437</f>
        <v>31226000</v>
      </c>
      <c r="J431" s="253">
        <f>J432+J437</f>
        <v>18494130</v>
      </c>
      <c r="K431" s="253">
        <f>K432+K437</f>
        <v>9936000</v>
      </c>
      <c r="L431" s="253"/>
      <c r="M431" s="253"/>
      <c r="N431" s="253">
        <f>N432+N437</f>
        <v>28430130</v>
      </c>
      <c r="O431" s="253">
        <f>O432+O437</f>
        <v>2795870</v>
      </c>
      <c r="P431" s="253"/>
      <c r="Q431" s="253">
        <f t="shared" ref="Q431:U431" si="333">Q432+Q437</f>
        <v>28430130</v>
      </c>
      <c r="R431" s="253">
        <f t="shared" si="333"/>
        <v>0</v>
      </c>
      <c r="S431" s="253">
        <f t="shared" si="333"/>
        <v>0</v>
      </c>
      <c r="T431" s="253">
        <f t="shared" si="333"/>
        <v>0</v>
      </c>
      <c r="U431" s="253">
        <f t="shared" si="333"/>
        <v>0</v>
      </c>
      <c r="V431" s="251"/>
      <c r="W431" s="283"/>
    </row>
    <row r="432" spans="1:23" x14ac:dyDescent="0.25">
      <c r="A432" s="232"/>
      <c r="B432" s="215" t="s">
        <v>542</v>
      </c>
      <c r="C432" s="215" t="s">
        <v>359</v>
      </c>
      <c r="D432" s="214"/>
      <c r="E432" s="236" t="s">
        <v>67</v>
      </c>
      <c r="F432" s="236"/>
      <c r="G432" s="216"/>
      <c r="H432" s="216"/>
      <c r="I432" s="217">
        <f>I433</f>
        <v>240000</v>
      </c>
      <c r="J432" s="217">
        <f>J433</f>
        <v>0</v>
      </c>
      <c r="K432" s="217">
        <f>K433</f>
        <v>240000</v>
      </c>
      <c r="L432" s="217"/>
      <c r="M432" s="217"/>
      <c r="N432" s="217">
        <f>N433</f>
        <v>240000</v>
      </c>
      <c r="O432" s="217">
        <f>O433</f>
        <v>0</v>
      </c>
      <c r="P432" s="217"/>
      <c r="Q432" s="217">
        <f t="shared" ref="Q432:U432" si="334">Q433</f>
        <v>240000</v>
      </c>
      <c r="R432" s="217">
        <f t="shared" si="334"/>
        <v>0</v>
      </c>
      <c r="S432" s="217">
        <f t="shared" si="334"/>
        <v>0</v>
      </c>
      <c r="T432" s="217">
        <f t="shared" si="334"/>
        <v>0</v>
      </c>
      <c r="U432" s="217">
        <f t="shared" si="334"/>
        <v>0</v>
      </c>
      <c r="V432" s="214"/>
      <c r="W432" s="281"/>
    </row>
    <row r="433" spans="1:23" x14ac:dyDescent="0.25">
      <c r="A433" s="234"/>
      <c r="B433" s="219" t="s">
        <v>542</v>
      </c>
      <c r="C433" s="219" t="s">
        <v>360</v>
      </c>
      <c r="D433" s="218"/>
      <c r="E433" s="220" t="s">
        <v>361</v>
      </c>
      <c r="F433" s="277"/>
      <c r="G433" s="220"/>
      <c r="H433" s="220"/>
      <c r="I433" s="221">
        <f>SUM(I434:I436)</f>
        <v>240000</v>
      </c>
      <c r="J433" s="221">
        <f>SUM(J434:J436)</f>
        <v>0</v>
      </c>
      <c r="K433" s="221">
        <f>SUM(K434:K436)</f>
        <v>240000</v>
      </c>
      <c r="L433" s="221"/>
      <c r="M433" s="221"/>
      <c r="N433" s="221">
        <f>SUM(N434:N436)</f>
        <v>240000</v>
      </c>
      <c r="O433" s="221">
        <f>SUM(O434:O436)</f>
        <v>0</v>
      </c>
      <c r="P433" s="221"/>
      <c r="Q433" s="221">
        <f t="shared" ref="Q433:U433" si="335">SUM(Q434:Q436)</f>
        <v>240000</v>
      </c>
      <c r="R433" s="221">
        <f t="shared" si="335"/>
        <v>0</v>
      </c>
      <c r="S433" s="221">
        <f t="shared" si="335"/>
        <v>0</v>
      </c>
      <c r="T433" s="221">
        <f t="shared" si="335"/>
        <v>0</v>
      </c>
      <c r="U433" s="221">
        <f t="shared" si="335"/>
        <v>0</v>
      </c>
      <c r="V433" s="218"/>
      <c r="W433" s="281"/>
    </row>
    <row r="434" spans="1:23" x14ac:dyDescent="0.25">
      <c r="A434" s="233"/>
      <c r="B434" s="223" t="s">
        <v>542</v>
      </c>
      <c r="C434" s="223" t="s">
        <v>362</v>
      </c>
      <c r="D434" s="222"/>
      <c r="E434" s="224" t="s">
        <v>363</v>
      </c>
      <c r="F434" s="258"/>
      <c r="G434" s="224"/>
      <c r="H434" s="224"/>
      <c r="I434" s="225">
        <v>30000</v>
      </c>
      <c r="J434" s="225">
        <v>0</v>
      </c>
      <c r="K434" s="225">
        <f>[1]Nov!I464</f>
        <v>30000</v>
      </c>
      <c r="L434" s="225"/>
      <c r="M434" s="225"/>
      <c r="N434" s="225">
        <f t="shared" ref="N434:N436" si="336">J434+K434</f>
        <v>30000</v>
      </c>
      <c r="O434" s="225">
        <f t="shared" ref="O434:O436" si="337">I434-N434</f>
        <v>0</v>
      </c>
      <c r="P434" s="225"/>
      <c r="Q434" s="225">
        <f>N434</f>
        <v>30000</v>
      </c>
      <c r="R434" s="225"/>
      <c r="S434" s="225"/>
      <c r="T434" s="225"/>
      <c r="U434" s="225"/>
      <c r="V434" s="222"/>
      <c r="W434" s="282"/>
    </row>
    <row r="435" spans="1:23" x14ac:dyDescent="0.25">
      <c r="A435" s="233"/>
      <c r="B435" s="223" t="s">
        <v>542</v>
      </c>
      <c r="C435" s="223" t="s">
        <v>366</v>
      </c>
      <c r="D435" s="222"/>
      <c r="E435" s="224" t="s">
        <v>367</v>
      </c>
      <c r="F435" s="258"/>
      <c r="G435" s="224"/>
      <c r="H435" s="224"/>
      <c r="I435" s="225">
        <v>30000</v>
      </c>
      <c r="J435" s="225">
        <v>0</v>
      </c>
      <c r="K435" s="225">
        <f>[1]Nov!I465</f>
        <v>30000</v>
      </c>
      <c r="L435" s="225"/>
      <c r="M435" s="225"/>
      <c r="N435" s="225">
        <f t="shared" si="336"/>
        <v>30000</v>
      </c>
      <c r="O435" s="225">
        <f t="shared" si="337"/>
        <v>0</v>
      </c>
      <c r="P435" s="225"/>
      <c r="Q435" s="225">
        <f t="shared" ref="Q435:Q436" si="338">N435</f>
        <v>30000</v>
      </c>
      <c r="R435" s="225"/>
      <c r="S435" s="225"/>
      <c r="T435" s="225"/>
      <c r="U435" s="225"/>
      <c r="V435" s="222"/>
      <c r="W435" s="283"/>
    </row>
    <row r="436" spans="1:23" x14ac:dyDescent="0.25">
      <c r="A436" s="233"/>
      <c r="B436" s="223" t="s">
        <v>542</v>
      </c>
      <c r="C436" s="223" t="s">
        <v>368</v>
      </c>
      <c r="D436" s="222"/>
      <c r="E436" s="224" t="s">
        <v>369</v>
      </c>
      <c r="F436" s="258"/>
      <c r="G436" s="224"/>
      <c r="H436" s="224"/>
      <c r="I436" s="225">
        <v>180000</v>
      </c>
      <c r="J436" s="225">
        <v>0</v>
      </c>
      <c r="K436" s="225">
        <f>[1]Nov!I466</f>
        <v>180000</v>
      </c>
      <c r="L436" s="225"/>
      <c r="M436" s="225"/>
      <c r="N436" s="225">
        <f t="shared" si="336"/>
        <v>180000</v>
      </c>
      <c r="O436" s="225">
        <f t="shared" si="337"/>
        <v>0</v>
      </c>
      <c r="P436" s="225"/>
      <c r="Q436" s="225">
        <f t="shared" si="338"/>
        <v>180000</v>
      </c>
      <c r="R436" s="225"/>
      <c r="S436" s="225"/>
      <c r="T436" s="225"/>
      <c r="U436" s="225"/>
      <c r="V436" s="222"/>
      <c r="W436" s="283"/>
    </row>
    <row r="437" spans="1:23" x14ac:dyDescent="0.25">
      <c r="A437" s="232"/>
      <c r="B437" s="215" t="s">
        <v>542</v>
      </c>
      <c r="C437" s="215" t="s">
        <v>404</v>
      </c>
      <c r="D437" s="214"/>
      <c r="E437" s="216" t="s">
        <v>68</v>
      </c>
      <c r="F437" s="236"/>
      <c r="G437" s="216"/>
      <c r="H437" s="216"/>
      <c r="I437" s="217">
        <f>I438</f>
        <v>30986000</v>
      </c>
      <c r="J437" s="217">
        <f>J438</f>
        <v>18494130</v>
      </c>
      <c r="K437" s="217">
        <f>K438</f>
        <v>9696000</v>
      </c>
      <c r="L437" s="217"/>
      <c r="M437" s="217"/>
      <c r="N437" s="217">
        <f>N438</f>
        <v>28190130</v>
      </c>
      <c r="O437" s="217">
        <f>O438</f>
        <v>2795870</v>
      </c>
      <c r="P437" s="217"/>
      <c r="Q437" s="217">
        <f t="shared" ref="Q437:U437" si="339">Q438</f>
        <v>28190130</v>
      </c>
      <c r="R437" s="217">
        <f t="shared" si="339"/>
        <v>0</v>
      </c>
      <c r="S437" s="217">
        <f t="shared" si="339"/>
        <v>0</v>
      </c>
      <c r="T437" s="217">
        <f t="shared" si="339"/>
        <v>0</v>
      </c>
      <c r="U437" s="217">
        <f t="shared" si="339"/>
        <v>0</v>
      </c>
      <c r="V437" s="214"/>
      <c r="W437" s="283"/>
    </row>
    <row r="438" spans="1:23" x14ac:dyDescent="0.25">
      <c r="A438" s="234"/>
      <c r="B438" s="219" t="s">
        <v>542</v>
      </c>
      <c r="C438" s="219" t="s">
        <v>526</v>
      </c>
      <c r="D438" s="218"/>
      <c r="E438" s="220" t="s">
        <v>527</v>
      </c>
      <c r="F438" s="277"/>
      <c r="G438" s="220"/>
      <c r="H438" s="220"/>
      <c r="I438" s="221">
        <f>SUM(I439:I441)</f>
        <v>30986000</v>
      </c>
      <c r="J438" s="221">
        <f>SUM(J439:J441)</f>
        <v>18494130</v>
      </c>
      <c r="K438" s="221">
        <f>SUM(K439:K441)</f>
        <v>9696000</v>
      </c>
      <c r="L438" s="221"/>
      <c r="M438" s="221"/>
      <c r="N438" s="221">
        <f>SUM(N439:N441)</f>
        <v>28190130</v>
      </c>
      <c r="O438" s="221">
        <f>SUM(O439:O441)</f>
        <v>2795870</v>
      </c>
      <c r="P438" s="221"/>
      <c r="Q438" s="221">
        <f t="shared" ref="Q438:U438" si="340">SUM(Q439:Q441)</f>
        <v>28190130</v>
      </c>
      <c r="R438" s="221">
        <f t="shared" si="340"/>
        <v>0</v>
      </c>
      <c r="S438" s="221">
        <f t="shared" si="340"/>
        <v>0</v>
      </c>
      <c r="T438" s="221">
        <f t="shared" si="340"/>
        <v>0</v>
      </c>
      <c r="U438" s="221">
        <f t="shared" si="340"/>
        <v>0</v>
      </c>
      <c r="V438" s="218"/>
      <c r="W438" s="282"/>
    </row>
    <row r="439" spans="1:23" ht="30" x14ac:dyDescent="0.25">
      <c r="A439" s="233"/>
      <c r="B439" s="223" t="s">
        <v>542</v>
      </c>
      <c r="C439" s="223" t="s">
        <v>528</v>
      </c>
      <c r="D439" s="222"/>
      <c r="E439" s="258" t="s">
        <v>529</v>
      </c>
      <c r="F439" s="258"/>
      <c r="G439" s="224"/>
      <c r="H439" s="224"/>
      <c r="I439" s="225">
        <v>550000</v>
      </c>
      <c r="J439" s="225">
        <v>550000</v>
      </c>
      <c r="K439" s="225">
        <f>[1]Nov!I469</f>
        <v>0</v>
      </c>
      <c r="L439" s="225"/>
      <c r="M439" s="225"/>
      <c r="N439" s="225">
        <f t="shared" ref="N439:N441" si="341">J439+K439</f>
        <v>550000</v>
      </c>
      <c r="O439" s="225">
        <f t="shared" ref="O439:O441" si="342">I439-N439</f>
        <v>0</v>
      </c>
      <c r="P439" s="225"/>
      <c r="Q439" s="225">
        <f>N439</f>
        <v>550000</v>
      </c>
      <c r="R439" s="225"/>
      <c r="S439" s="225"/>
      <c r="T439" s="225"/>
      <c r="U439" s="225"/>
      <c r="V439" s="222"/>
      <c r="W439" s="283"/>
    </row>
    <row r="440" spans="1:23" ht="30" x14ac:dyDescent="0.25">
      <c r="A440" s="233"/>
      <c r="B440" s="223" t="s">
        <v>542</v>
      </c>
      <c r="C440" s="223" t="s">
        <v>530</v>
      </c>
      <c r="D440" s="222"/>
      <c r="E440" s="258" t="s">
        <v>531</v>
      </c>
      <c r="F440" s="258"/>
      <c r="G440" s="224"/>
      <c r="H440" s="224"/>
      <c r="I440" s="225">
        <v>9696000</v>
      </c>
      <c r="J440" s="225">
        <v>0</v>
      </c>
      <c r="K440" s="225">
        <f>[1]Nov!I470</f>
        <v>9696000</v>
      </c>
      <c r="L440" s="225"/>
      <c r="M440" s="225"/>
      <c r="N440" s="225">
        <f t="shared" si="341"/>
        <v>9696000</v>
      </c>
      <c r="O440" s="225">
        <f t="shared" si="342"/>
        <v>0</v>
      </c>
      <c r="P440" s="225"/>
      <c r="Q440" s="225">
        <f t="shared" ref="Q440:Q441" si="343">N440</f>
        <v>9696000</v>
      </c>
      <c r="R440" s="225"/>
      <c r="S440" s="225"/>
      <c r="T440" s="225"/>
      <c r="U440" s="225"/>
      <c r="V440" s="222"/>
      <c r="W440" s="282"/>
    </row>
    <row r="441" spans="1:23" ht="30" x14ac:dyDescent="0.25">
      <c r="A441" s="233"/>
      <c r="B441" s="223" t="s">
        <v>542</v>
      </c>
      <c r="C441" s="223" t="s">
        <v>532</v>
      </c>
      <c r="D441" s="222"/>
      <c r="E441" s="258" t="s">
        <v>533</v>
      </c>
      <c r="F441" s="258"/>
      <c r="G441" s="224"/>
      <c r="H441" s="224"/>
      <c r="I441" s="225">
        <v>20740000</v>
      </c>
      <c r="J441" s="225">
        <f>17224130+150000+45000+350000+175000</f>
        <v>17944130</v>
      </c>
      <c r="K441" s="225">
        <f>[1]Nov!I471</f>
        <v>0</v>
      </c>
      <c r="L441" s="225"/>
      <c r="M441" s="225"/>
      <c r="N441" s="225">
        <f t="shared" si="341"/>
        <v>17944130</v>
      </c>
      <c r="O441" s="225">
        <f t="shared" si="342"/>
        <v>2795870</v>
      </c>
      <c r="P441" s="225"/>
      <c r="Q441" s="225">
        <f t="shared" si="343"/>
        <v>17944130</v>
      </c>
      <c r="R441" s="225"/>
      <c r="S441" s="225"/>
      <c r="T441" s="225"/>
      <c r="U441" s="225"/>
      <c r="V441" s="222"/>
      <c r="W441" s="283"/>
    </row>
    <row r="442" spans="1:23" x14ac:dyDescent="0.25">
      <c r="A442" s="233"/>
      <c r="B442" s="223"/>
      <c r="C442" s="223"/>
      <c r="D442" s="222"/>
      <c r="E442" s="224"/>
      <c r="F442" s="258"/>
      <c r="G442" s="224"/>
      <c r="H442" s="224"/>
      <c r="I442" s="225"/>
      <c r="J442" s="225"/>
      <c r="K442" s="225"/>
      <c r="L442" s="225"/>
      <c r="M442" s="225"/>
      <c r="N442" s="225"/>
      <c r="O442" s="225"/>
      <c r="P442" s="225"/>
      <c r="Q442" s="225"/>
      <c r="R442" s="225"/>
      <c r="S442" s="225"/>
      <c r="T442" s="225"/>
      <c r="U442" s="225"/>
      <c r="V442" s="222"/>
      <c r="W442" s="283"/>
    </row>
    <row r="443" spans="1:23" x14ac:dyDescent="0.25">
      <c r="A443" s="232"/>
      <c r="B443" s="215" t="s">
        <v>544</v>
      </c>
      <c r="C443" s="232"/>
      <c r="D443" s="216" t="s">
        <v>545</v>
      </c>
      <c r="E443" s="214"/>
      <c r="F443" s="291"/>
      <c r="G443" s="214"/>
      <c r="H443" s="214"/>
      <c r="I443" s="217">
        <f>I444+I455</f>
        <v>118805000</v>
      </c>
      <c r="J443" s="217">
        <f>J444+J455</f>
        <v>102662070</v>
      </c>
      <c r="K443" s="217">
        <f>K444+K455</f>
        <v>0</v>
      </c>
      <c r="L443" s="217"/>
      <c r="M443" s="217"/>
      <c r="N443" s="217">
        <f>N444+N455</f>
        <v>102662070</v>
      </c>
      <c r="O443" s="217">
        <f>O444+O455</f>
        <v>16142930</v>
      </c>
      <c r="P443" s="217"/>
      <c r="Q443" s="217">
        <f t="shared" ref="Q443:U443" si="344">Q444+Q455</f>
        <v>102662070</v>
      </c>
      <c r="R443" s="217">
        <f t="shared" si="344"/>
        <v>0</v>
      </c>
      <c r="S443" s="217">
        <f t="shared" si="344"/>
        <v>0</v>
      </c>
      <c r="T443" s="217">
        <f t="shared" si="344"/>
        <v>0</v>
      </c>
      <c r="U443" s="217">
        <f t="shared" si="344"/>
        <v>0</v>
      </c>
      <c r="V443" s="214"/>
      <c r="W443" s="281"/>
    </row>
    <row r="444" spans="1:23" ht="60" x14ac:dyDescent="0.25">
      <c r="A444" s="232"/>
      <c r="B444" s="242" t="s">
        <v>546</v>
      </c>
      <c r="C444" s="232"/>
      <c r="D444" s="214"/>
      <c r="E444" s="236" t="s">
        <v>547</v>
      </c>
      <c r="F444" s="236" t="s">
        <v>717</v>
      </c>
      <c r="G444" s="236"/>
      <c r="H444" s="236"/>
      <c r="I444" s="237">
        <f>I445</f>
        <v>118805000</v>
      </c>
      <c r="J444" s="237">
        <f>J445</f>
        <v>102662070</v>
      </c>
      <c r="K444" s="237">
        <f>K445</f>
        <v>0</v>
      </c>
      <c r="L444" s="237"/>
      <c r="M444" s="237"/>
      <c r="N444" s="237">
        <f>N445</f>
        <v>102662070</v>
      </c>
      <c r="O444" s="237">
        <f>O445</f>
        <v>16142930</v>
      </c>
      <c r="P444" s="237"/>
      <c r="Q444" s="237">
        <f t="shared" ref="Q444:U444" si="345">Q445</f>
        <v>102662070</v>
      </c>
      <c r="R444" s="237">
        <f t="shared" si="345"/>
        <v>0</v>
      </c>
      <c r="S444" s="237">
        <f t="shared" si="345"/>
        <v>0</v>
      </c>
      <c r="T444" s="237">
        <f t="shared" si="345"/>
        <v>0</v>
      </c>
      <c r="U444" s="237">
        <f t="shared" si="345"/>
        <v>0</v>
      </c>
      <c r="V444" s="214"/>
      <c r="W444" s="281"/>
    </row>
    <row r="445" spans="1:23" x14ac:dyDescent="0.25">
      <c r="A445" s="232"/>
      <c r="B445" s="215" t="s">
        <v>546</v>
      </c>
      <c r="C445" s="215" t="s">
        <v>359</v>
      </c>
      <c r="D445" s="214"/>
      <c r="E445" s="216" t="s">
        <v>67</v>
      </c>
      <c r="F445" s="236"/>
      <c r="G445" s="216"/>
      <c r="H445" s="216"/>
      <c r="I445" s="217">
        <f>I446+I450+I452</f>
        <v>118805000</v>
      </c>
      <c r="J445" s="217">
        <f>J446+J450+J452</f>
        <v>102662070</v>
      </c>
      <c r="K445" s="217">
        <f>K446+K450+K452</f>
        <v>0</v>
      </c>
      <c r="L445" s="217"/>
      <c r="M445" s="217"/>
      <c r="N445" s="217">
        <f>N446+N450+N452</f>
        <v>102662070</v>
      </c>
      <c r="O445" s="217">
        <f>O446+O450+O452</f>
        <v>16142930</v>
      </c>
      <c r="P445" s="217"/>
      <c r="Q445" s="217">
        <f t="shared" ref="Q445:U445" si="346">Q446+Q450+Q452</f>
        <v>102662070</v>
      </c>
      <c r="R445" s="217">
        <f t="shared" si="346"/>
        <v>0</v>
      </c>
      <c r="S445" s="217">
        <f t="shared" si="346"/>
        <v>0</v>
      </c>
      <c r="T445" s="217">
        <f t="shared" si="346"/>
        <v>0</v>
      </c>
      <c r="U445" s="217">
        <f t="shared" si="346"/>
        <v>0</v>
      </c>
      <c r="V445" s="214"/>
      <c r="W445" s="281"/>
    </row>
    <row r="446" spans="1:23" x14ac:dyDescent="0.25">
      <c r="A446" s="234"/>
      <c r="B446" s="219" t="s">
        <v>546</v>
      </c>
      <c r="C446" s="219" t="s">
        <v>360</v>
      </c>
      <c r="D446" s="218"/>
      <c r="E446" s="220" t="s">
        <v>361</v>
      </c>
      <c r="F446" s="277"/>
      <c r="G446" s="220"/>
      <c r="H446" s="220"/>
      <c r="I446" s="221">
        <f>SUM(I447:I449)</f>
        <v>330000</v>
      </c>
      <c r="J446" s="221">
        <f>SUM(J447:J449)</f>
        <v>330000</v>
      </c>
      <c r="K446" s="221">
        <f>SUM(K447:K449)</f>
        <v>0</v>
      </c>
      <c r="L446" s="221"/>
      <c r="M446" s="221"/>
      <c r="N446" s="221">
        <f>SUM(N447:N449)</f>
        <v>330000</v>
      </c>
      <c r="O446" s="221">
        <f>SUM(O447:O449)</f>
        <v>0</v>
      </c>
      <c r="P446" s="221"/>
      <c r="Q446" s="221">
        <f t="shared" ref="Q446:U446" si="347">SUM(Q447:Q449)</f>
        <v>330000</v>
      </c>
      <c r="R446" s="221">
        <f t="shared" si="347"/>
        <v>0</v>
      </c>
      <c r="S446" s="221">
        <f t="shared" si="347"/>
        <v>0</v>
      </c>
      <c r="T446" s="221">
        <f t="shared" si="347"/>
        <v>0</v>
      </c>
      <c r="U446" s="221">
        <f t="shared" si="347"/>
        <v>0</v>
      </c>
      <c r="V446" s="218"/>
      <c r="W446" s="282"/>
    </row>
    <row r="447" spans="1:23" x14ac:dyDescent="0.25">
      <c r="A447" s="233"/>
      <c r="B447" s="223" t="s">
        <v>546</v>
      </c>
      <c r="C447" s="223" t="s">
        <v>362</v>
      </c>
      <c r="D447" s="222"/>
      <c r="E447" s="224" t="s">
        <v>363</v>
      </c>
      <c r="F447" s="258"/>
      <c r="G447" s="224"/>
      <c r="H447" s="224"/>
      <c r="I447" s="225">
        <v>55000</v>
      </c>
      <c r="J447" s="225">
        <v>55000</v>
      </c>
      <c r="K447" s="225">
        <f>[1]Nov!I477</f>
        <v>0</v>
      </c>
      <c r="L447" s="225"/>
      <c r="M447" s="225"/>
      <c r="N447" s="225">
        <f t="shared" ref="N447:N449" si="348">J447+K447</f>
        <v>55000</v>
      </c>
      <c r="O447" s="225">
        <f t="shared" ref="O447:O449" si="349">I447-N447</f>
        <v>0</v>
      </c>
      <c r="P447" s="225"/>
      <c r="Q447" s="225">
        <f>N447</f>
        <v>55000</v>
      </c>
      <c r="R447" s="225"/>
      <c r="S447" s="225"/>
      <c r="T447" s="225"/>
      <c r="U447" s="225"/>
      <c r="V447" s="222"/>
      <c r="W447" s="283"/>
    </row>
    <row r="448" spans="1:23" x14ac:dyDescent="0.25">
      <c r="A448" s="233"/>
      <c r="B448" s="223" t="s">
        <v>546</v>
      </c>
      <c r="C448" s="223" t="s">
        <v>366</v>
      </c>
      <c r="D448" s="222"/>
      <c r="E448" s="224" t="s">
        <v>367</v>
      </c>
      <c r="F448" s="258"/>
      <c r="G448" s="224"/>
      <c r="H448" s="224"/>
      <c r="I448" s="225">
        <v>95000</v>
      </c>
      <c r="J448" s="225">
        <v>95000</v>
      </c>
      <c r="K448" s="225">
        <f>[1]Nov!I478</f>
        <v>0</v>
      </c>
      <c r="L448" s="225"/>
      <c r="M448" s="225"/>
      <c r="N448" s="225">
        <f t="shared" si="348"/>
        <v>95000</v>
      </c>
      <c r="O448" s="225">
        <f t="shared" si="349"/>
        <v>0</v>
      </c>
      <c r="P448" s="225"/>
      <c r="Q448" s="225">
        <f t="shared" ref="Q448:Q449" si="350">N448</f>
        <v>95000</v>
      </c>
      <c r="R448" s="225"/>
      <c r="S448" s="225"/>
      <c r="T448" s="225"/>
      <c r="U448" s="225"/>
      <c r="V448" s="222"/>
      <c r="W448" s="283"/>
    </row>
    <row r="449" spans="1:23" x14ac:dyDescent="0.25">
      <c r="A449" s="233"/>
      <c r="B449" s="223" t="s">
        <v>546</v>
      </c>
      <c r="C449" s="223" t="s">
        <v>368</v>
      </c>
      <c r="D449" s="222"/>
      <c r="E449" s="224" t="s">
        <v>369</v>
      </c>
      <c r="F449" s="258"/>
      <c r="G449" s="224"/>
      <c r="H449" s="224"/>
      <c r="I449" s="225">
        <v>180000</v>
      </c>
      <c r="J449" s="225">
        <v>180000</v>
      </c>
      <c r="K449" s="225">
        <f>[1]Nov!I479</f>
        <v>0</v>
      </c>
      <c r="L449" s="225"/>
      <c r="M449" s="225"/>
      <c r="N449" s="225">
        <f t="shared" si="348"/>
        <v>180000</v>
      </c>
      <c r="O449" s="225">
        <f t="shared" si="349"/>
        <v>0</v>
      </c>
      <c r="P449" s="225"/>
      <c r="Q449" s="225">
        <f t="shared" si="350"/>
        <v>180000</v>
      </c>
      <c r="R449" s="225"/>
      <c r="S449" s="225"/>
      <c r="T449" s="225"/>
      <c r="U449" s="225"/>
      <c r="V449" s="222"/>
      <c r="W449" s="281"/>
    </row>
    <row r="450" spans="1:23" x14ac:dyDescent="0.25">
      <c r="A450" s="234"/>
      <c r="B450" s="219" t="s">
        <v>546</v>
      </c>
      <c r="C450" s="219" t="s">
        <v>370</v>
      </c>
      <c r="D450" s="218"/>
      <c r="E450" s="277" t="s">
        <v>81</v>
      </c>
      <c r="F450" s="277"/>
      <c r="G450" s="220"/>
      <c r="H450" s="220"/>
      <c r="I450" s="221">
        <f>SUM(I451)</f>
        <v>1375000</v>
      </c>
      <c r="J450" s="221">
        <f>SUM(J451)</f>
        <v>1375000</v>
      </c>
      <c r="K450" s="221">
        <f>SUM(K451)</f>
        <v>0</v>
      </c>
      <c r="L450" s="221"/>
      <c r="M450" s="221"/>
      <c r="N450" s="221">
        <f>SUM(N451)</f>
        <v>1375000</v>
      </c>
      <c r="O450" s="221">
        <f>SUM(O451)</f>
        <v>0</v>
      </c>
      <c r="P450" s="221"/>
      <c r="Q450" s="221">
        <f t="shared" ref="Q450:U450" si="351">SUM(Q451)</f>
        <v>1375000</v>
      </c>
      <c r="R450" s="221">
        <f t="shared" si="351"/>
        <v>0</v>
      </c>
      <c r="S450" s="221">
        <f t="shared" si="351"/>
        <v>0</v>
      </c>
      <c r="T450" s="221">
        <f t="shared" si="351"/>
        <v>0</v>
      </c>
      <c r="U450" s="221">
        <f t="shared" si="351"/>
        <v>0</v>
      </c>
      <c r="V450" s="218"/>
      <c r="W450" s="281"/>
    </row>
    <row r="451" spans="1:23" ht="30" x14ac:dyDescent="0.25">
      <c r="A451" s="233"/>
      <c r="B451" s="223" t="s">
        <v>546</v>
      </c>
      <c r="C451" s="223" t="s">
        <v>436</v>
      </c>
      <c r="D451" s="222"/>
      <c r="E451" s="258" t="s">
        <v>437</v>
      </c>
      <c r="F451" s="258"/>
      <c r="G451" s="224"/>
      <c r="H451" s="224"/>
      <c r="I451" s="225">
        <v>1375000</v>
      </c>
      <c r="J451" s="225">
        <v>1375000</v>
      </c>
      <c r="K451" s="225">
        <f>[1]Nov!I481</f>
        <v>0</v>
      </c>
      <c r="L451" s="225"/>
      <c r="M451" s="225"/>
      <c r="N451" s="225">
        <f t="shared" ref="N451" si="352">J451+K451</f>
        <v>1375000</v>
      </c>
      <c r="O451" s="225">
        <f t="shared" ref="O451" si="353">I451-N451</f>
        <v>0</v>
      </c>
      <c r="P451" s="225"/>
      <c r="Q451" s="225">
        <f>N451</f>
        <v>1375000</v>
      </c>
      <c r="R451" s="225"/>
      <c r="S451" s="225"/>
      <c r="T451" s="225"/>
      <c r="U451" s="225"/>
      <c r="V451" s="222"/>
      <c r="W451" s="281"/>
    </row>
    <row r="452" spans="1:23" ht="28.5" x14ac:dyDescent="0.25">
      <c r="A452" s="234"/>
      <c r="B452" s="219" t="s">
        <v>546</v>
      </c>
      <c r="C452" s="219" t="s">
        <v>460</v>
      </c>
      <c r="D452" s="218"/>
      <c r="E452" s="277" t="s">
        <v>461</v>
      </c>
      <c r="F452" s="277"/>
      <c r="G452" s="220"/>
      <c r="H452" s="220"/>
      <c r="I452" s="221">
        <f>SUM(I453)</f>
        <v>117100000</v>
      </c>
      <c r="J452" s="221">
        <f>SUM(J453)</f>
        <v>100957070</v>
      </c>
      <c r="K452" s="221">
        <f>SUM(K453)</f>
        <v>0</v>
      </c>
      <c r="L452" s="221"/>
      <c r="M452" s="221"/>
      <c r="N452" s="221">
        <f>SUM(N453)</f>
        <v>100957070</v>
      </c>
      <c r="O452" s="221">
        <f>SUM(O453)</f>
        <v>16142930</v>
      </c>
      <c r="P452" s="221"/>
      <c r="Q452" s="221">
        <f t="shared" ref="Q452:U452" si="354">SUM(Q453)</f>
        <v>100957070</v>
      </c>
      <c r="R452" s="221">
        <f t="shared" si="354"/>
        <v>0</v>
      </c>
      <c r="S452" s="221">
        <f t="shared" si="354"/>
        <v>0</v>
      </c>
      <c r="T452" s="221">
        <f t="shared" si="354"/>
        <v>0</v>
      </c>
      <c r="U452" s="221">
        <f t="shared" si="354"/>
        <v>0</v>
      </c>
      <c r="V452" s="218"/>
      <c r="W452" s="281"/>
    </row>
    <row r="453" spans="1:23" ht="30" x14ac:dyDescent="0.25">
      <c r="A453" s="243"/>
      <c r="B453" s="244" t="s">
        <v>546</v>
      </c>
      <c r="C453" s="244" t="s">
        <v>462</v>
      </c>
      <c r="D453" s="245"/>
      <c r="E453" s="295" t="s">
        <v>463</v>
      </c>
      <c r="F453" s="295"/>
      <c r="G453" s="246"/>
      <c r="H453" s="246"/>
      <c r="I453" s="247">
        <v>117100000</v>
      </c>
      <c r="J453" s="225">
        <f>99257070+1700000</f>
        <v>100957070</v>
      </c>
      <c r="K453" s="225">
        <f>[1]Nov!I483</f>
        <v>0</v>
      </c>
      <c r="L453" s="247"/>
      <c r="M453" s="247"/>
      <c r="N453" s="247">
        <f t="shared" ref="N453" si="355">J453+K453</f>
        <v>100957070</v>
      </c>
      <c r="O453" s="247">
        <f t="shared" ref="O453" si="356">I453-N453</f>
        <v>16142930</v>
      </c>
      <c r="P453" s="247"/>
      <c r="Q453" s="247">
        <f>N453</f>
        <v>100957070</v>
      </c>
      <c r="R453" s="247"/>
      <c r="S453" s="247"/>
      <c r="T453" s="247"/>
      <c r="U453" s="247"/>
      <c r="V453" s="245"/>
      <c r="W453" s="282"/>
    </row>
    <row r="454" spans="1:23" x14ac:dyDescent="0.25">
      <c r="A454" s="233"/>
      <c r="B454" s="223"/>
      <c r="C454" s="223"/>
      <c r="D454" s="222"/>
      <c r="E454" s="224"/>
      <c r="F454" s="258"/>
      <c r="G454" s="224"/>
      <c r="H454" s="224"/>
      <c r="I454" s="225"/>
      <c r="J454" s="225"/>
      <c r="K454" s="225"/>
      <c r="L454" s="225"/>
      <c r="M454" s="225"/>
      <c r="N454" s="225"/>
      <c r="O454" s="225"/>
      <c r="P454" s="225"/>
      <c r="Q454" s="225"/>
      <c r="R454" s="225"/>
      <c r="S454" s="225"/>
      <c r="T454" s="225"/>
      <c r="U454" s="225"/>
      <c r="V454" s="222"/>
      <c r="W454" s="283"/>
    </row>
    <row r="455" spans="1:23" x14ac:dyDescent="0.25">
      <c r="A455" s="249"/>
      <c r="B455" s="250" t="s">
        <v>548</v>
      </c>
      <c r="C455" s="249"/>
      <c r="D455" s="251"/>
      <c r="E455" s="252" t="s">
        <v>549</v>
      </c>
      <c r="F455" s="255"/>
      <c r="G455" s="252"/>
      <c r="H455" s="252"/>
      <c r="I455" s="253">
        <f>I456</f>
        <v>0</v>
      </c>
      <c r="J455" s="253">
        <f>J456</f>
        <v>0</v>
      </c>
      <c r="K455" s="253">
        <f>K456</f>
        <v>0</v>
      </c>
      <c r="L455" s="253"/>
      <c r="M455" s="253"/>
      <c r="N455" s="253">
        <f>N456</f>
        <v>0</v>
      </c>
      <c r="O455" s="253">
        <f>O456</f>
        <v>0</v>
      </c>
      <c r="P455" s="253"/>
      <c r="Q455" s="253"/>
      <c r="R455" s="253"/>
      <c r="S455" s="253"/>
      <c r="T455" s="253"/>
      <c r="U455" s="253"/>
      <c r="V455" s="251"/>
      <c r="W455" s="281"/>
    </row>
    <row r="456" spans="1:23" x14ac:dyDescent="0.25">
      <c r="A456" s="232"/>
      <c r="B456" s="215" t="s">
        <v>548</v>
      </c>
      <c r="C456" s="215" t="s">
        <v>359</v>
      </c>
      <c r="D456" s="214"/>
      <c r="E456" s="216" t="s">
        <v>67</v>
      </c>
      <c r="F456" s="236"/>
      <c r="G456" s="216"/>
      <c r="H456" s="216"/>
      <c r="I456" s="217">
        <f>I457+I461+I463</f>
        <v>0</v>
      </c>
      <c r="J456" s="217">
        <f>J457+J461+J463</f>
        <v>0</v>
      </c>
      <c r="K456" s="217">
        <f>K457+K461+K463</f>
        <v>0</v>
      </c>
      <c r="L456" s="217"/>
      <c r="M456" s="217"/>
      <c r="N456" s="217">
        <f>N457+N461+N463</f>
        <v>0</v>
      </c>
      <c r="O456" s="217">
        <f>O457+O461+O463</f>
        <v>0</v>
      </c>
      <c r="P456" s="217"/>
      <c r="Q456" s="217"/>
      <c r="R456" s="217"/>
      <c r="S456" s="217"/>
      <c r="T456" s="217"/>
      <c r="U456" s="217"/>
      <c r="V456" s="214"/>
      <c r="W456" s="281"/>
    </row>
    <row r="457" spans="1:23" x14ac:dyDescent="0.25">
      <c r="A457" s="234"/>
      <c r="B457" s="219" t="s">
        <v>548</v>
      </c>
      <c r="C457" s="219" t="s">
        <v>360</v>
      </c>
      <c r="D457" s="218"/>
      <c r="E457" s="220" t="s">
        <v>361</v>
      </c>
      <c r="F457" s="277"/>
      <c r="G457" s="220"/>
      <c r="H457" s="220"/>
      <c r="I457" s="221">
        <f>SUM(I458:I460)</f>
        <v>0</v>
      </c>
      <c r="J457" s="221">
        <f>SUM(J458:J460)</f>
        <v>0</v>
      </c>
      <c r="K457" s="221">
        <f>SUM(K458:K460)</f>
        <v>0</v>
      </c>
      <c r="L457" s="221"/>
      <c r="M457" s="221"/>
      <c r="N457" s="221">
        <f>SUM(N458:N460)</f>
        <v>0</v>
      </c>
      <c r="O457" s="221">
        <f>SUM(O458:O460)</f>
        <v>0</v>
      </c>
      <c r="P457" s="221"/>
      <c r="Q457" s="221"/>
      <c r="R457" s="221"/>
      <c r="S457" s="221"/>
      <c r="T457" s="221"/>
      <c r="U457" s="221"/>
      <c r="V457" s="218"/>
      <c r="W457" s="282"/>
    </row>
    <row r="458" spans="1:23" x14ac:dyDescent="0.25">
      <c r="A458" s="233"/>
      <c r="B458" s="223" t="s">
        <v>548</v>
      </c>
      <c r="C458" s="223" t="s">
        <v>362</v>
      </c>
      <c r="D458" s="222"/>
      <c r="E458" s="224" t="s">
        <v>363</v>
      </c>
      <c r="F458" s="258"/>
      <c r="G458" s="224"/>
      <c r="H458" s="224"/>
      <c r="I458" s="225">
        <v>0</v>
      </c>
      <c r="J458" s="225">
        <v>0</v>
      </c>
      <c r="K458" s="225">
        <f>[1]Nov!I488</f>
        <v>0</v>
      </c>
      <c r="L458" s="225"/>
      <c r="M458" s="225"/>
      <c r="N458" s="225">
        <f t="shared" ref="N458:N460" si="357">J458+K458</f>
        <v>0</v>
      </c>
      <c r="O458" s="225">
        <f t="shared" ref="O458:O460" si="358">I458-N458</f>
        <v>0</v>
      </c>
      <c r="P458" s="225"/>
      <c r="Q458" s="225"/>
      <c r="R458" s="225"/>
      <c r="S458" s="225"/>
      <c r="T458" s="225"/>
      <c r="U458" s="225"/>
      <c r="V458" s="222"/>
      <c r="W458" s="283"/>
    </row>
    <row r="459" spans="1:23" x14ac:dyDescent="0.25">
      <c r="A459" s="233"/>
      <c r="B459" s="223" t="s">
        <v>548</v>
      </c>
      <c r="C459" s="223" t="s">
        <v>366</v>
      </c>
      <c r="D459" s="222"/>
      <c r="E459" s="224" t="s">
        <v>367</v>
      </c>
      <c r="F459" s="258"/>
      <c r="G459" s="224"/>
      <c r="H459" s="224"/>
      <c r="I459" s="225">
        <v>0</v>
      </c>
      <c r="J459" s="225">
        <v>0</v>
      </c>
      <c r="K459" s="225">
        <f>[1]Nov!I489</f>
        <v>0</v>
      </c>
      <c r="L459" s="225"/>
      <c r="M459" s="225"/>
      <c r="N459" s="225">
        <f t="shared" si="357"/>
        <v>0</v>
      </c>
      <c r="O459" s="225">
        <f t="shared" si="358"/>
        <v>0</v>
      </c>
      <c r="P459" s="225"/>
      <c r="Q459" s="225"/>
      <c r="R459" s="225"/>
      <c r="S459" s="225"/>
      <c r="T459" s="225"/>
      <c r="U459" s="225"/>
      <c r="V459" s="222"/>
      <c r="W459" s="283"/>
    </row>
    <row r="460" spans="1:23" x14ac:dyDescent="0.25">
      <c r="A460" s="233"/>
      <c r="B460" s="223" t="s">
        <v>548</v>
      </c>
      <c r="C460" s="223" t="s">
        <v>368</v>
      </c>
      <c r="D460" s="222"/>
      <c r="E460" s="224" t="s">
        <v>369</v>
      </c>
      <c r="F460" s="258"/>
      <c r="G460" s="224"/>
      <c r="H460" s="224"/>
      <c r="I460" s="225">
        <v>0</v>
      </c>
      <c r="J460" s="225">
        <v>0</v>
      </c>
      <c r="K460" s="225">
        <f>[1]Nov!I490</f>
        <v>0</v>
      </c>
      <c r="L460" s="225"/>
      <c r="M460" s="225"/>
      <c r="N460" s="225">
        <f t="shared" si="357"/>
        <v>0</v>
      </c>
      <c r="O460" s="225">
        <f t="shared" si="358"/>
        <v>0</v>
      </c>
      <c r="P460" s="225"/>
      <c r="Q460" s="225"/>
      <c r="R460" s="225"/>
      <c r="S460" s="225"/>
      <c r="T460" s="225"/>
      <c r="U460" s="225"/>
      <c r="V460" s="222"/>
      <c r="W460" s="282"/>
    </row>
    <row r="461" spans="1:23" x14ac:dyDescent="0.25">
      <c r="A461" s="234"/>
      <c r="B461" s="219" t="s">
        <v>548</v>
      </c>
      <c r="C461" s="219" t="s">
        <v>370</v>
      </c>
      <c r="D461" s="218"/>
      <c r="E461" s="220" t="s">
        <v>81</v>
      </c>
      <c r="F461" s="277"/>
      <c r="G461" s="220"/>
      <c r="H461" s="220"/>
      <c r="I461" s="221">
        <f>SUM(I462)</f>
        <v>0</v>
      </c>
      <c r="J461" s="221">
        <f>SUM(J462)</f>
        <v>0</v>
      </c>
      <c r="K461" s="221">
        <f>SUM(K462)</f>
        <v>0</v>
      </c>
      <c r="L461" s="221"/>
      <c r="M461" s="221"/>
      <c r="N461" s="221">
        <f>SUM(N462)</f>
        <v>0</v>
      </c>
      <c r="O461" s="221">
        <f>SUM(O462)</f>
        <v>0</v>
      </c>
      <c r="P461" s="221"/>
      <c r="Q461" s="221"/>
      <c r="R461" s="221"/>
      <c r="S461" s="221"/>
      <c r="T461" s="221"/>
      <c r="U461" s="221"/>
      <c r="V461" s="218"/>
      <c r="W461" s="283"/>
    </row>
    <row r="462" spans="1:23" ht="30" x14ac:dyDescent="0.25">
      <c r="A462" s="233"/>
      <c r="B462" s="223" t="s">
        <v>548</v>
      </c>
      <c r="C462" s="223" t="s">
        <v>436</v>
      </c>
      <c r="D462" s="222"/>
      <c r="E462" s="258" t="s">
        <v>437</v>
      </c>
      <c r="F462" s="258"/>
      <c r="G462" s="224"/>
      <c r="H462" s="224"/>
      <c r="I462" s="225">
        <v>0</v>
      </c>
      <c r="J462" s="225">
        <v>0</v>
      </c>
      <c r="K462" s="225">
        <f>[1]Nov!I492</f>
        <v>0</v>
      </c>
      <c r="L462" s="225"/>
      <c r="M462" s="225"/>
      <c r="N462" s="225">
        <f t="shared" ref="N462" si="359">J462+K462</f>
        <v>0</v>
      </c>
      <c r="O462" s="225">
        <f t="shared" ref="O462" si="360">I462-N462</f>
        <v>0</v>
      </c>
      <c r="P462" s="225"/>
      <c r="Q462" s="225"/>
      <c r="R462" s="225"/>
      <c r="S462" s="225"/>
      <c r="T462" s="225"/>
      <c r="U462" s="225"/>
      <c r="V462" s="222"/>
      <c r="W462" s="282"/>
    </row>
    <row r="463" spans="1:23" ht="28.5" x14ac:dyDescent="0.25">
      <c r="A463" s="234"/>
      <c r="B463" s="219" t="s">
        <v>548</v>
      </c>
      <c r="C463" s="219" t="s">
        <v>460</v>
      </c>
      <c r="D463" s="218"/>
      <c r="E463" s="277" t="s">
        <v>461</v>
      </c>
      <c r="F463" s="277"/>
      <c r="G463" s="220"/>
      <c r="H463" s="220"/>
      <c r="I463" s="221">
        <f>SUM(I464)</f>
        <v>0</v>
      </c>
      <c r="J463" s="221">
        <f>SUM(J464)</f>
        <v>0</v>
      </c>
      <c r="K463" s="221">
        <f>SUM(K464)</f>
        <v>0</v>
      </c>
      <c r="L463" s="221"/>
      <c r="M463" s="221"/>
      <c r="N463" s="221">
        <f>SUM(N464)</f>
        <v>0</v>
      </c>
      <c r="O463" s="221">
        <f>SUM(O464)</f>
        <v>0</v>
      </c>
      <c r="P463" s="221"/>
      <c r="Q463" s="221"/>
      <c r="R463" s="221"/>
      <c r="S463" s="221"/>
      <c r="T463" s="221"/>
      <c r="U463" s="221"/>
      <c r="V463" s="218"/>
      <c r="W463" s="283"/>
    </row>
    <row r="464" spans="1:23" ht="30" x14ac:dyDescent="0.25">
      <c r="A464" s="233"/>
      <c r="B464" s="223" t="s">
        <v>548</v>
      </c>
      <c r="C464" s="223" t="s">
        <v>462</v>
      </c>
      <c r="D464" s="222"/>
      <c r="E464" s="258" t="s">
        <v>463</v>
      </c>
      <c r="F464" s="258"/>
      <c r="G464" s="224"/>
      <c r="H464" s="224"/>
      <c r="I464" s="225">
        <v>0</v>
      </c>
      <c r="J464" s="225">
        <v>0</v>
      </c>
      <c r="K464" s="225">
        <f>[1]Nov!I494</f>
        <v>0</v>
      </c>
      <c r="L464" s="225"/>
      <c r="M464" s="225"/>
      <c r="N464" s="225">
        <f t="shared" ref="N464" si="361">J464+K464</f>
        <v>0</v>
      </c>
      <c r="O464" s="225">
        <f t="shared" ref="O464" si="362">I464-N464</f>
        <v>0</v>
      </c>
      <c r="P464" s="225"/>
      <c r="Q464" s="225"/>
      <c r="R464" s="225"/>
      <c r="S464" s="225"/>
      <c r="T464" s="225"/>
      <c r="U464" s="225"/>
      <c r="V464" s="222"/>
      <c r="W464" s="283"/>
    </row>
    <row r="465" spans="1:23" x14ac:dyDescent="0.25">
      <c r="A465" s="233"/>
      <c r="B465" s="223"/>
      <c r="C465" s="223"/>
      <c r="D465" s="222"/>
      <c r="E465" s="258"/>
      <c r="F465" s="258"/>
      <c r="G465" s="224"/>
      <c r="H465" s="224"/>
      <c r="I465" s="225"/>
      <c r="J465" s="225"/>
      <c r="K465" s="225"/>
      <c r="L465" s="225"/>
      <c r="M465" s="225"/>
      <c r="N465" s="225"/>
      <c r="O465" s="225"/>
      <c r="P465" s="225"/>
      <c r="Q465" s="225"/>
      <c r="R465" s="225"/>
      <c r="S465" s="225"/>
      <c r="T465" s="225"/>
      <c r="U465" s="225"/>
      <c r="V465" s="222"/>
      <c r="W465" s="283"/>
    </row>
    <row r="466" spans="1:23" x14ac:dyDescent="0.25">
      <c r="A466" s="232"/>
      <c r="B466" s="215" t="s">
        <v>550</v>
      </c>
      <c r="C466" s="232"/>
      <c r="D466" s="216" t="s">
        <v>551</v>
      </c>
      <c r="E466" s="291"/>
      <c r="F466" s="291"/>
      <c r="G466" s="214"/>
      <c r="H466" s="214"/>
      <c r="I466" s="217">
        <f t="shared" ref="I466:U468" si="363">I467</f>
        <v>2250000</v>
      </c>
      <c r="J466" s="217">
        <f t="shared" si="363"/>
        <v>324000</v>
      </c>
      <c r="K466" s="217">
        <f t="shared" si="363"/>
        <v>1500000</v>
      </c>
      <c r="L466" s="217"/>
      <c r="M466" s="217"/>
      <c r="N466" s="217">
        <f t="shared" si="363"/>
        <v>1824000</v>
      </c>
      <c r="O466" s="217">
        <f t="shared" si="363"/>
        <v>426000</v>
      </c>
      <c r="P466" s="217"/>
      <c r="Q466" s="217">
        <f t="shared" si="363"/>
        <v>1824000</v>
      </c>
      <c r="R466" s="217">
        <f t="shared" si="363"/>
        <v>0</v>
      </c>
      <c r="S466" s="217">
        <f t="shared" si="363"/>
        <v>0</v>
      </c>
      <c r="T466" s="217">
        <f t="shared" si="363"/>
        <v>0</v>
      </c>
      <c r="U466" s="217">
        <f t="shared" si="363"/>
        <v>0</v>
      </c>
      <c r="V466" s="214"/>
      <c r="W466" s="283"/>
    </row>
    <row r="467" spans="1:23" ht="90" x14ac:dyDescent="0.25">
      <c r="A467" s="232"/>
      <c r="B467" s="215" t="s">
        <v>552</v>
      </c>
      <c r="C467" s="232"/>
      <c r="D467" s="214"/>
      <c r="E467" s="236" t="s">
        <v>553</v>
      </c>
      <c r="F467" s="236" t="s">
        <v>718</v>
      </c>
      <c r="G467" s="216"/>
      <c r="H467" s="216"/>
      <c r="I467" s="217">
        <f t="shared" si="363"/>
        <v>2250000</v>
      </c>
      <c r="J467" s="217">
        <f t="shared" si="363"/>
        <v>324000</v>
      </c>
      <c r="K467" s="217">
        <f t="shared" si="363"/>
        <v>1500000</v>
      </c>
      <c r="L467" s="217"/>
      <c r="M467" s="217"/>
      <c r="N467" s="217">
        <f t="shared" si="363"/>
        <v>1824000</v>
      </c>
      <c r="O467" s="217">
        <f t="shared" si="363"/>
        <v>426000</v>
      </c>
      <c r="P467" s="217"/>
      <c r="Q467" s="217">
        <f t="shared" si="363"/>
        <v>1824000</v>
      </c>
      <c r="R467" s="217">
        <f t="shared" si="363"/>
        <v>0</v>
      </c>
      <c r="S467" s="217">
        <f t="shared" si="363"/>
        <v>0</v>
      </c>
      <c r="T467" s="217">
        <f t="shared" si="363"/>
        <v>0</v>
      </c>
      <c r="U467" s="217">
        <f t="shared" si="363"/>
        <v>0</v>
      </c>
      <c r="V467" s="214"/>
      <c r="W467" s="283"/>
    </row>
    <row r="468" spans="1:23" x14ac:dyDescent="0.25">
      <c r="A468" s="232"/>
      <c r="B468" s="215" t="s">
        <v>552</v>
      </c>
      <c r="C468" s="215" t="s">
        <v>359</v>
      </c>
      <c r="D468" s="214"/>
      <c r="E468" s="236" t="s">
        <v>67</v>
      </c>
      <c r="F468" s="236"/>
      <c r="G468" s="216"/>
      <c r="H468" s="216"/>
      <c r="I468" s="217">
        <f t="shared" si="363"/>
        <v>2250000</v>
      </c>
      <c r="J468" s="217">
        <f t="shared" si="363"/>
        <v>324000</v>
      </c>
      <c r="K468" s="217">
        <f t="shared" si="363"/>
        <v>1500000</v>
      </c>
      <c r="L468" s="217"/>
      <c r="M468" s="217"/>
      <c r="N468" s="217">
        <f t="shared" si="363"/>
        <v>1824000</v>
      </c>
      <c r="O468" s="217">
        <f t="shared" si="363"/>
        <v>426000</v>
      </c>
      <c r="P468" s="217"/>
      <c r="Q468" s="217">
        <f t="shared" si="363"/>
        <v>1824000</v>
      </c>
      <c r="R468" s="217">
        <f t="shared" si="363"/>
        <v>0</v>
      </c>
      <c r="S468" s="217">
        <f t="shared" si="363"/>
        <v>0</v>
      </c>
      <c r="T468" s="217">
        <f t="shared" si="363"/>
        <v>0</v>
      </c>
      <c r="U468" s="217">
        <f t="shared" si="363"/>
        <v>0</v>
      </c>
      <c r="V468" s="214"/>
      <c r="W468" s="283"/>
    </row>
    <row r="469" spans="1:23" x14ac:dyDescent="0.25">
      <c r="A469" s="234"/>
      <c r="B469" s="219" t="s">
        <v>552</v>
      </c>
      <c r="C469" s="219" t="s">
        <v>360</v>
      </c>
      <c r="D469" s="218"/>
      <c r="E469" s="220" t="s">
        <v>361</v>
      </c>
      <c r="F469" s="277"/>
      <c r="G469" s="220"/>
      <c r="H469" s="220"/>
      <c r="I469" s="221">
        <f>SUM(I470)</f>
        <v>2250000</v>
      </c>
      <c r="J469" s="221">
        <f>SUM(J470)</f>
        <v>324000</v>
      </c>
      <c r="K469" s="221">
        <f>SUM(K470)</f>
        <v>1500000</v>
      </c>
      <c r="L469" s="221"/>
      <c r="M469" s="221"/>
      <c r="N469" s="221">
        <f>SUM(N470)</f>
        <v>1824000</v>
      </c>
      <c r="O469" s="221">
        <f>SUM(O470)</f>
        <v>426000</v>
      </c>
      <c r="P469" s="221"/>
      <c r="Q469" s="221">
        <f t="shared" ref="Q469:U469" si="364">SUM(Q470)</f>
        <v>1824000</v>
      </c>
      <c r="R469" s="221">
        <f t="shared" si="364"/>
        <v>0</v>
      </c>
      <c r="S469" s="221">
        <f t="shared" si="364"/>
        <v>0</v>
      </c>
      <c r="T469" s="221">
        <f t="shared" si="364"/>
        <v>0</v>
      </c>
      <c r="U469" s="221">
        <f t="shared" si="364"/>
        <v>0</v>
      </c>
      <c r="V469" s="218"/>
      <c r="W469" s="281"/>
    </row>
    <row r="470" spans="1:23" x14ac:dyDescent="0.25">
      <c r="A470" s="243"/>
      <c r="B470" s="244" t="s">
        <v>552</v>
      </c>
      <c r="C470" s="244" t="s">
        <v>366</v>
      </c>
      <c r="D470" s="245"/>
      <c r="E470" s="246" t="s">
        <v>367</v>
      </c>
      <c r="F470" s="295"/>
      <c r="G470" s="246"/>
      <c r="H470" s="246"/>
      <c r="I470" s="247">
        <v>2250000</v>
      </c>
      <c r="J470" s="247">
        <v>324000</v>
      </c>
      <c r="K470" s="225">
        <f>[1]Nov!I500</f>
        <v>1500000</v>
      </c>
      <c r="L470" s="247"/>
      <c r="M470" s="247"/>
      <c r="N470" s="247">
        <f t="shared" ref="N470" si="365">J470+K470</f>
        <v>1824000</v>
      </c>
      <c r="O470" s="247">
        <f t="shared" ref="O470" si="366">I470-N470</f>
        <v>426000</v>
      </c>
      <c r="P470" s="247"/>
      <c r="Q470" s="247">
        <f>N470</f>
        <v>1824000</v>
      </c>
      <c r="R470" s="247"/>
      <c r="S470" s="247"/>
      <c r="T470" s="247"/>
      <c r="U470" s="247"/>
      <c r="V470" s="245"/>
      <c r="W470" s="281"/>
    </row>
    <row r="471" spans="1:23" x14ac:dyDescent="0.25">
      <c r="A471" s="264"/>
      <c r="B471" s="289"/>
      <c r="C471" s="289"/>
      <c r="D471" s="265"/>
      <c r="E471" s="290"/>
      <c r="F471" s="297"/>
      <c r="G471" s="290"/>
      <c r="H471" s="290"/>
      <c r="I471" s="270"/>
      <c r="J471" s="270"/>
      <c r="K471" s="270"/>
      <c r="L471" s="270"/>
      <c r="M471" s="270"/>
      <c r="N471" s="270"/>
      <c r="O471" s="270"/>
      <c r="P471" s="270"/>
      <c r="Q471" s="270"/>
      <c r="R471" s="270"/>
      <c r="S471" s="270"/>
      <c r="T471" s="270"/>
      <c r="U471" s="270"/>
      <c r="V471" s="265"/>
      <c r="W471" s="282"/>
    </row>
    <row r="472" spans="1:23" x14ac:dyDescent="0.25">
      <c r="A472" s="249"/>
      <c r="B472" s="250">
        <v>3</v>
      </c>
      <c r="C472" s="249"/>
      <c r="D472" s="252" t="s">
        <v>554</v>
      </c>
      <c r="E472" s="251"/>
      <c r="F472" s="296"/>
      <c r="G472" s="251"/>
      <c r="H472" s="251"/>
      <c r="I472" s="253">
        <f>I473+I481+I502+I518</f>
        <v>27045020</v>
      </c>
      <c r="J472" s="253">
        <f>J473+J481+J502+J518</f>
        <v>4024500</v>
      </c>
      <c r="K472" s="253">
        <f>K473+K481+K502+K518</f>
        <v>15224750</v>
      </c>
      <c r="L472" s="253"/>
      <c r="M472" s="253"/>
      <c r="N472" s="253">
        <f>N473+N481+N502+N518</f>
        <v>19249250</v>
      </c>
      <c r="O472" s="253">
        <f>O473+O481+O502+O518</f>
        <v>7795770</v>
      </c>
      <c r="P472" s="253"/>
      <c r="Q472" s="253">
        <f>Q473+Q481+Q502+Q518</f>
        <v>0</v>
      </c>
      <c r="R472" s="253">
        <f>R473+R481+R502+R518</f>
        <v>3031750</v>
      </c>
      <c r="S472" s="253">
        <f>S473+S481+S502+S518</f>
        <v>7532000</v>
      </c>
      <c r="T472" s="253">
        <f>T473+T481+T502+T518</f>
        <v>6115500</v>
      </c>
      <c r="U472" s="253">
        <f>U473+U481+U502+U518</f>
        <v>2570000</v>
      </c>
      <c r="V472" s="251"/>
      <c r="W472" s="282"/>
    </row>
    <row r="473" spans="1:23" x14ac:dyDescent="0.25">
      <c r="A473" s="232"/>
      <c r="B473" s="215" t="s">
        <v>555</v>
      </c>
      <c r="C473" s="232"/>
      <c r="D473" s="216" t="s">
        <v>556</v>
      </c>
      <c r="E473" s="291"/>
      <c r="F473" s="291"/>
      <c r="G473" s="214"/>
      <c r="H473" s="214"/>
      <c r="I473" s="217">
        <f t="shared" ref="I473:U474" si="367">I474</f>
        <v>2070000</v>
      </c>
      <c r="J473" s="217">
        <f t="shared" si="367"/>
        <v>0</v>
      </c>
      <c r="K473" s="217">
        <f t="shared" si="367"/>
        <v>2070000</v>
      </c>
      <c r="L473" s="217"/>
      <c r="M473" s="217"/>
      <c r="N473" s="217">
        <f t="shared" si="367"/>
        <v>2070000</v>
      </c>
      <c r="O473" s="217">
        <f t="shared" si="367"/>
        <v>0</v>
      </c>
      <c r="P473" s="217"/>
      <c r="Q473" s="217">
        <f t="shared" si="367"/>
        <v>0</v>
      </c>
      <c r="R473" s="217">
        <f t="shared" si="367"/>
        <v>0</v>
      </c>
      <c r="S473" s="217">
        <f t="shared" si="367"/>
        <v>0</v>
      </c>
      <c r="T473" s="217">
        <f t="shared" si="367"/>
        <v>2070000</v>
      </c>
      <c r="U473" s="217">
        <f t="shared" si="367"/>
        <v>0</v>
      </c>
      <c r="V473" s="214"/>
      <c r="W473" s="283"/>
    </row>
    <row r="474" spans="1:23" ht="30" x14ac:dyDescent="0.25">
      <c r="A474" s="232"/>
      <c r="B474" s="215" t="s">
        <v>557</v>
      </c>
      <c r="C474" s="232"/>
      <c r="D474" s="214"/>
      <c r="E474" s="216" t="s">
        <v>558</v>
      </c>
      <c r="F474" s="321" t="s">
        <v>719</v>
      </c>
      <c r="G474" s="216"/>
      <c r="H474" s="216"/>
      <c r="I474" s="217">
        <f t="shared" si="367"/>
        <v>2070000</v>
      </c>
      <c r="J474" s="217">
        <f t="shared" si="367"/>
        <v>0</v>
      </c>
      <c r="K474" s="217">
        <f t="shared" si="367"/>
        <v>2070000</v>
      </c>
      <c r="L474" s="217"/>
      <c r="M474" s="217"/>
      <c r="N474" s="217">
        <f t="shared" si="367"/>
        <v>2070000</v>
      </c>
      <c r="O474" s="217">
        <f t="shared" si="367"/>
        <v>0</v>
      </c>
      <c r="P474" s="217"/>
      <c r="Q474" s="217">
        <f t="shared" si="367"/>
        <v>0</v>
      </c>
      <c r="R474" s="217">
        <f t="shared" si="367"/>
        <v>0</v>
      </c>
      <c r="S474" s="217">
        <f t="shared" si="367"/>
        <v>0</v>
      </c>
      <c r="T474" s="217">
        <f t="shared" si="367"/>
        <v>2070000</v>
      </c>
      <c r="U474" s="217">
        <f t="shared" si="367"/>
        <v>0</v>
      </c>
      <c r="V474" s="214"/>
      <c r="W474" s="283"/>
    </row>
    <row r="475" spans="1:23" x14ac:dyDescent="0.25">
      <c r="A475" s="232"/>
      <c r="B475" s="215" t="s">
        <v>557</v>
      </c>
      <c r="C475" s="215" t="s">
        <v>359</v>
      </c>
      <c r="D475" s="214"/>
      <c r="E475" s="216" t="s">
        <v>67</v>
      </c>
      <c r="F475" s="236"/>
      <c r="G475" s="216"/>
      <c r="H475" s="216"/>
      <c r="I475" s="217">
        <f>I476+I478</f>
        <v>2070000</v>
      </c>
      <c r="J475" s="217">
        <f>J476+J478</f>
        <v>0</v>
      </c>
      <c r="K475" s="217">
        <f>K476+K478</f>
        <v>2070000</v>
      </c>
      <c r="L475" s="217"/>
      <c r="M475" s="217"/>
      <c r="N475" s="217">
        <f>N476+N478</f>
        <v>2070000</v>
      </c>
      <c r="O475" s="217">
        <f>O476+O478</f>
        <v>0</v>
      </c>
      <c r="P475" s="217"/>
      <c r="Q475" s="217">
        <f t="shared" ref="Q475:U475" si="368">Q476+Q478</f>
        <v>0</v>
      </c>
      <c r="R475" s="217">
        <f t="shared" si="368"/>
        <v>0</v>
      </c>
      <c r="S475" s="217">
        <f t="shared" si="368"/>
        <v>0</v>
      </c>
      <c r="T475" s="217">
        <f t="shared" si="368"/>
        <v>2070000</v>
      </c>
      <c r="U475" s="217">
        <f t="shared" si="368"/>
        <v>0</v>
      </c>
      <c r="V475" s="214"/>
      <c r="W475" s="281"/>
    </row>
    <row r="476" spans="1:23" x14ac:dyDescent="0.25">
      <c r="A476" s="234"/>
      <c r="B476" s="219" t="s">
        <v>557</v>
      </c>
      <c r="C476" s="219" t="s">
        <v>360</v>
      </c>
      <c r="D476" s="218"/>
      <c r="E476" s="220" t="s">
        <v>361</v>
      </c>
      <c r="F476" s="277"/>
      <c r="G476" s="220"/>
      <c r="H476" s="220"/>
      <c r="I476" s="221">
        <f>SUM(I477)</f>
        <v>1620000</v>
      </c>
      <c r="J476" s="221">
        <f>SUM(J477)</f>
        <v>0</v>
      </c>
      <c r="K476" s="221">
        <f>SUM(K477)</f>
        <v>1620000</v>
      </c>
      <c r="L476" s="221"/>
      <c r="M476" s="221"/>
      <c r="N476" s="221">
        <f>SUM(N477)</f>
        <v>1620000</v>
      </c>
      <c r="O476" s="221">
        <f>SUM(O477)</f>
        <v>0</v>
      </c>
      <c r="P476" s="221"/>
      <c r="Q476" s="221">
        <f t="shared" ref="Q476:U476" si="369">SUM(Q477)</f>
        <v>0</v>
      </c>
      <c r="R476" s="221">
        <f t="shared" si="369"/>
        <v>0</v>
      </c>
      <c r="S476" s="221">
        <f t="shared" si="369"/>
        <v>0</v>
      </c>
      <c r="T476" s="221">
        <f t="shared" si="369"/>
        <v>1620000</v>
      </c>
      <c r="U476" s="221">
        <f t="shared" si="369"/>
        <v>0</v>
      </c>
      <c r="V476" s="218"/>
      <c r="W476" s="281"/>
    </row>
    <row r="477" spans="1:23" x14ac:dyDescent="0.25">
      <c r="A477" s="233"/>
      <c r="B477" s="223" t="s">
        <v>557</v>
      </c>
      <c r="C477" s="223" t="s">
        <v>368</v>
      </c>
      <c r="D477" s="222"/>
      <c r="E477" s="224" t="s">
        <v>369</v>
      </c>
      <c r="F477" s="258"/>
      <c r="G477" s="224"/>
      <c r="H477" s="224"/>
      <c r="I477" s="225">
        <v>1620000</v>
      </c>
      <c r="J477" s="225">
        <v>0</v>
      </c>
      <c r="K477" s="225">
        <f>[1]Nov!I510</f>
        <v>1620000</v>
      </c>
      <c r="L477" s="225"/>
      <c r="M477" s="225"/>
      <c r="N477" s="225">
        <f t="shared" ref="N477" si="370">J477+K477</f>
        <v>1620000</v>
      </c>
      <c r="O477" s="225">
        <f t="shared" ref="O477" si="371">I477-N477</f>
        <v>0</v>
      </c>
      <c r="P477" s="225"/>
      <c r="Q477" s="225"/>
      <c r="R477" s="225"/>
      <c r="S477" s="225"/>
      <c r="T477" s="225">
        <f>N477</f>
        <v>1620000</v>
      </c>
      <c r="U477" s="225"/>
      <c r="V477" s="222"/>
      <c r="W477" s="281"/>
    </row>
    <row r="478" spans="1:23" x14ac:dyDescent="0.25">
      <c r="A478" s="234"/>
      <c r="B478" s="219" t="s">
        <v>557</v>
      </c>
      <c r="C478" s="219" t="s">
        <v>370</v>
      </c>
      <c r="D478" s="218"/>
      <c r="E478" s="220" t="s">
        <v>81</v>
      </c>
      <c r="F478" s="277"/>
      <c r="G478" s="220"/>
      <c r="H478" s="220"/>
      <c r="I478" s="221">
        <f>SUM(I479)</f>
        <v>450000</v>
      </c>
      <c r="J478" s="221">
        <f>SUM(J479)</f>
        <v>0</v>
      </c>
      <c r="K478" s="221">
        <f>SUM(K479)</f>
        <v>450000</v>
      </c>
      <c r="L478" s="221"/>
      <c r="M478" s="221"/>
      <c r="N478" s="221">
        <f>SUM(N479)</f>
        <v>450000</v>
      </c>
      <c r="O478" s="221">
        <f>SUM(O479)</f>
        <v>0</v>
      </c>
      <c r="P478" s="221"/>
      <c r="Q478" s="221">
        <f t="shared" ref="Q478:U478" si="372">SUM(Q479)</f>
        <v>0</v>
      </c>
      <c r="R478" s="221">
        <f t="shared" si="372"/>
        <v>0</v>
      </c>
      <c r="S478" s="221">
        <f t="shared" si="372"/>
        <v>0</v>
      </c>
      <c r="T478" s="221">
        <f t="shared" si="372"/>
        <v>450000</v>
      </c>
      <c r="U478" s="221">
        <f t="shared" si="372"/>
        <v>0</v>
      </c>
      <c r="V478" s="218"/>
      <c r="W478" s="282"/>
    </row>
    <row r="479" spans="1:23" ht="30" x14ac:dyDescent="0.25">
      <c r="A479" s="233"/>
      <c r="B479" s="223" t="s">
        <v>557</v>
      </c>
      <c r="C479" s="223" t="s">
        <v>476</v>
      </c>
      <c r="D479" s="222"/>
      <c r="E479" s="258" t="s">
        <v>477</v>
      </c>
      <c r="F479" s="258"/>
      <c r="G479" s="224"/>
      <c r="H479" s="224"/>
      <c r="I479" s="225">
        <v>450000</v>
      </c>
      <c r="J479" s="225">
        <v>0</v>
      </c>
      <c r="K479" s="225">
        <f>[1]Nov!I512</f>
        <v>450000</v>
      </c>
      <c r="L479" s="225"/>
      <c r="M479" s="225"/>
      <c r="N479" s="225">
        <f t="shared" ref="N479" si="373">J479+K479</f>
        <v>450000</v>
      </c>
      <c r="O479" s="225">
        <f t="shared" ref="O479" si="374">I479-N479</f>
        <v>0</v>
      </c>
      <c r="P479" s="225"/>
      <c r="Q479" s="225"/>
      <c r="R479" s="225"/>
      <c r="S479" s="225"/>
      <c r="T479" s="225">
        <f>N479</f>
        <v>450000</v>
      </c>
      <c r="U479" s="225"/>
      <c r="V479" s="222"/>
      <c r="W479" s="283"/>
    </row>
    <row r="480" spans="1:23" x14ac:dyDescent="0.25">
      <c r="A480" s="233"/>
      <c r="B480" s="223"/>
      <c r="C480" s="223"/>
      <c r="D480" s="222"/>
      <c r="E480" s="224"/>
      <c r="F480" s="258"/>
      <c r="G480" s="224"/>
      <c r="H480" s="224"/>
      <c r="I480" s="225"/>
      <c r="J480" s="225"/>
      <c r="K480" s="225"/>
      <c r="L480" s="225"/>
      <c r="M480" s="225"/>
      <c r="N480" s="225"/>
      <c r="O480" s="225"/>
      <c r="P480" s="225"/>
      <c r="Q480" s="225"/>
      <c r="R480" s="225"/>
      <c r="S480" s="225"/>
      <c r="T480" s="225"/>
      <c r="U480" s="225"/>
      <c r="V480" s="222"/>
      <c r="W480" s="283"/>
    </row>
    <row r="481" spans="1:23" x14ac:dyDescent="0.25">
      <c r="A481" s="232"/>
      <c r="B481" s="215" t="s">
        <v>559</v>
      </c>
      <c r="C481" s="232"/>
      <c r="D481" s="216" t="s">
        <v>560</v>
      </c>
      <c r="E481" s="214"/>
      <c r="F481" s="291"/>
      <c r="G481" s="214"/>
      <c r="H481" s="214"/>
      <c r="I481" s="217">
        <f>I482+I493</f>
        <v>6910000</v>
      </c>
      <c r="J481" s="217">
        <f>J482+J493</f>
        <v>0</v>
      </c>
      <c r="K481" s="217">
        <f>K482+K493</f>
        <v>375000</v>
      </c>
      <c r="L481" s="217"/>
      <c r="M481" s="217"/>
      <c r="N481" s="217">
        <f>N482+N493</f>
        <v>375000</v>
      </c>
      <c r="O481" s="217">
        <f>O482+O493</f>
        <v>6535000</v>
      </c>
      <c r="P481" s="217"/>
      <c r="Q481" s="217">
        <f t="shared" ref="Q481:U481" si="375">Q482+Q493</f>
        <v>0</v>
      </c>
      <c r="R481" s="217">
        <f t="shared" si="375"/>
        <v>0</v>
      </c>
      <c r="S481" s="217">
        <f t="shared" si="375"/>
        <v>0</v>
      </c>
      <c r="T481" s="217">
        <f t="shared" si="375"/>
        <v>375000</v>
      </c>
      <c r="U481" s="217">
        <f t="shared" si="375"/>
        <v>0</v>
      </c>
      <c r="V481" s="214"/>
      <c r="W481" s="282"/>
    </row>
    <row r="482" spans="1:23" ht="45" x14ac:dyDescent="0.25">
      <c r="A482" s="232"/>
      <c r="B482" s="242" t="s">
        <v>561</v>
      </c>
      <c r="C482" s="232"/>
      <c r="D482" s="214"/>
      <c r="E482" s="236" t="s">
        <v>562</v>
      </c>
      <c r="F482" s="236" t="s">
        <v>720</v>
      </c>
      <c r="G482" s="236"/>
      <c r="H482" s="236"/>
      <c r="I482" s="237">
        <f>I483</f>
        <v>6910000</v>
      </c>
      <c r="J482" s="237">
        <f>J483</f>
        <v>0</v>
      </c>
      <c r="K482" s="237">
        <f>K483</f>
        <v>375000</v>
      </c>
      <c r="L482" s="237"/>
      <c r="M482" s="237"/>
      <c r="N482" s="237">
        <f>N483</f>
        <v>375000</v>
      </c>
      <c r="O482" s="237">
        <f>O483</f>
        <v>6535000</v>
      </c>
      <c r="P482" s="237"/>
      <c r="Q482" s="237">
        <f t="shared" ref="Q482:U482" si="376">Q483</f>
        <v>0</v>
      </c>
      <c r="R482" s="237">
        <f t="shared" si="376"/>
        <v>0</v>
      </c>
      <c r="S482" s="237">
        <f t="shared" si="376"/>
        <v>0</v>
      </c>
      <c r="T482" s="237">
        <f t="shared" si="376"/>
        <v>375000</v>
      </c>
      <c r="U482" s="237">
        <f t="shared" si="376"/>
        <v>0</v>
      </c>
      <c r="V482" s="214"/>
      <c r="W482" s="283"/>
    </row>
    <row r="483" spans="1:23" x14ac:dyDescent="0.25">
      <c r="A483" s="232"/>
      <c r="B483" s="215" t="s">
        <v>561</v>
      </c>
      <c r="C483" s="215" t="s">
        <v>359</v>
      </c>
      <c r="D483" s="214"/>
      <c r="E483" s="216" t="s">
        <v>67</v>
      </c>
      <c r="F483" s="236"/>
      <c r="G483" s="216"/>
      <c r="H483" s="216"/>
      <c r="I483" s="217">
        <f>I484+I487+I489</f>
        <v>6910000</v>
      </c>
      <c r="J483" s="217">
        <f>J484+J487+J489</f>
        <v>0</v>
      </c>
      <c r="K483" s="217">
        <f>K484+K487+K489</f>
        <v>375000</v>
      </c>
      <c r="L483" s="217"/>
      <c r="M483" s="217"/>
      <c r="N483" s="217">
        <f>N484+N487+N489</f>
        <v>375000</v>
      </c>
      <c r="O483" s="217">
        <f>O484+O487+O489</f>
        <v>6535000</v>
      </c>
      <c r="P483" s="217"/>
      <c r="Q483" s="217">
        <f t="shared" ref="Q483:U483" si="377">Q484+Q487+Q489</f>
        <v>0</v>
      </c>
      <c r="R483" s="217">
        <f t="shared" si="377"/>
        <v>0</v>
      </c>
      <c r="S483" s="217">
        <f t="shared" si="377"/>
        <v>0</v>
      </c>
      <c r="T483" s="217">
        <f t="shared" si="377"/>
        <v>375000</v>
      </c>
      <c r="U483" s="217">
        <f t="shared" si="377"/>
        <v>0</v>
      </c>
      <c r="V483" s="214"/>
      <c r="W483" s="283"/>
    </row>
    <row r="484" spans="1:23" x14ac:dyDescent="0.25">
      <c r="A484" s="234"/>
      <c r="B484" s="219" t="s">
        <v>561</v>
      </c>
      <c r="C484" s="219" t="s">
        <v>360</v>
      </c>
      <c r="D484" s="218"/>
      <c r="E484" s="220" t="s">
        <v>361</v>
      </c>
      <c r="F484" s="277"/>
      <c r="G484" s="220"/>
      <c r="H484" s="220"/>
      <c r="I484" s="221">
        <f>SUM(I485:I486)</f>
        <v>4460000</v>
      </c>
      <c r="J484" s="221">
        <f>SUM(J485:J486)</f>
        <v>0</v>
      </c>
      <c r="K484" s="221">
        <f>SUM(K485:K486)</f>
        <v>375000</v>
      </c>
      <c r="L484" s="221"/>
      <c r="M484" s="221"/>
      <c r="N484" s="221">
        <f>SUM(N485:N486)</f>
        <v>375000</v>
      </c>
      <c r="O484" s="221">
        <f>SUM(O485:O486)</f>
        <v>4085000</v>
      </c>
      <c r="P484" s="221"/>
      <c r="Q484" s="221">
        <f t="shared" ref="Q484:U484" si="378">SUM(Q485:Q486)</f>
        <v>0</v>
      </c>
      <c r="R484" s="221">
        <f t="shared" si="378"/>
        <v>0</v>
      </c>
      <c r="S484" s="221">
        <f t="shared" si="378"/>
        <v>0</v>
      </c>
      <c r="T484" s="221">
        <f t="shared" si="378"/>
        <v>375000</v>
      </c>
      <c r="U484" s="221">
        <f t="shared" si="378"/>
        <v>0</v>
      </c>
      <c r="V484" s="218"/>
      <c r="W484" s="281"/>
    </row>
    <row r="485" spans="1:23" x14ac:dyDescent="0.25">
      <c r="A485" s="233"/>
      <c r="B485" s="223" t="s">
        <v>561</v>
      </c>
      <c r="C485" s="223" t="s">
        <v>366</v>
      </c>
      <c r="D485" s="222"/>
      <c r="E485" s="224" t="s">
        <v>367</v>
      </c>
      <c r="F485" s="258"/>
      <c r="G485" s="224"/>
      <c r="H485" s="224"/>
      <c r="I485" s="225">
        <v>375000</v>
      </c>
      <c r="J485" s="225">
        <v>0</v>
      </c>
      <c r="K485" s="225">
        <f>[1]Nov!I518</f>
        <v>375000</v>
      </c>
      <c r="L485" s="225"/>
      <c r="M485" s="225"/>
      <c r="N485" s="225">
        <f t="shared" ref="N485:N486" si="379">J485+K485</f>
        <v>375000</v>
      </c>
      <c r="O485" s="225">
        <f t="shared" ref="O485:O486" si="380">I485-N485</f>
        <v>0</v>
      </c>
      <c r="P485" s="225"/>
      <c r="Q485" s="225"/>
      <c r="R485" s="225"/>
      <c r="S485" s="225"/>
      <c r="T485" s="225">
        <f>N485</f>
        <v>375000</v>
      </c>
      <c r="U485" s="225"/>
      <c r="V485" s="222"/>
      <c r="W485" s="281"/>
    </row>
    <row r="486" spans="1:23" x14ac:dyDescent="0.25">
      <c r="A486" s="233"/>
      <c r="B486" s="223" t="s">
        <v>561</v>
      </c>
      <c r="C486" s="223" t="s">
        <v>368</v>
      </c>
      <c r="D486" s="222"/>
      <c r="E486" s="224" t="s">
        <v>369</v>
      </c>
      <c r="F486" s="258"/>
      <c r="G486" s="224"/>
      <c r="H486" s="224"/>
      <c r="I486" s="225">
        <v>4085000</v>
      </c>
      <c r="J486" s="225">
        <v>0</v>
      </c>
      <c r="K486" s="225">
        <f>[1]Nov!I519</f>
        <v>0</v>
      </c>
      <c r="L486" s="225"/>
      <c r="M486" s="225"/>
      <c r="N486" s="225">
        <f t="shared" si="379"/>
        <v>0</v>
      </c>
      <c r="O486" s="225">
        <f t="shared" si="380"/>
        <v>4085000</v>
      </c>
      <c r="P486" s="225"/>
      <c r="Q486" s="225"/>
      <c r="R486" s="225"/>
      <c r="S486" s="225"/>
      <c r="T486" s="225"/>
      <c r="U486" s="225"/>
      <c r="V486" s="222"/>
      <c r="W486" s="282"/>
    </row>
    <row r="487" spans="1:23" x14ac:dyDescent="0.25">
      <c r="A487" s="234"/>
      <c r="B487" s="219" t="s">
        <v>561</v>
      </c>
      <c r="C487" s="219" t="s">
        <v>370</v>
      </c>
      <c r="D487" s="218"/>
      <c r="E487" s="220" t="s">
        <v>81</v>
      </c>
      <c r="F487" s="277"/>
      <c r="G487" s="220"/>
      <c r="H487" s="220"/>
      <c r="I487" s="221">
        <f>SUM(I488)</f>
        <v>1400000</v>
      </c>
      <c r="J487" s="221">
        <f>SUM(J488)</f>
        <v>0</v>
      </c>
      <c r="K487" s="221">
        <f>SUM(K488)</f>
        <v>0</v>
      </c>
      <c r="L487" s="221"/>
      <c r="M487" s="221"/>
      <c r="N487" s="221">
        <f>SUM(N488)</f>
        <v>0</v>
      </c>
      <c r="O487" s="221">
        <f>SUM(O488)</f>
        <v>1400000</v>
      </c>
      <c r="P487" s="221"/>
      <c r="Q487" s="221"/>
      <c r="R487" s="221"/>
      <c r="S487" s="221"/>
      <c r="T487" s="221"/>
      <c r="U487" s="221"/>
      <c r="V487" s="218"/>
      <c r="W487" s="283"/>
    </row>
    <row r="488" spans="1:23" ht="30" x14ac:dyDescent="0.25">
      <c r="A488" s="233"/>
      <c r="B488" s="223" t="s">
        <v>561</v>
      </c>
      <c r="C488" s="223" t="s">
        <v>478</v>
      </c>
      <c r="D488" s="222"/>
      <c r="E488" s="258" t="s">
        <v>479</v>
      </c>
      <c r="F488" s="258"/>
      <c r="G488" s="224"/>
      <c r="H488" s="224"/>
      <c r="I488" s="225">
        <v>1400000</v>
      </c>
      <c r="J488" s="225">
        <v>0</v>
      </c>
      <c r="K488" s="225">
        <f>[1]Nov!I521</f>
        <v>0</v>
      </c>
      <c r="L488" s="225"/>
      <c r="M488" s="225"/>
      <c r="N488" s="225">
        <f t="shared" ref="N488" si="381">J488+K488</f>
        <v>0</v>
      </c>
      <c r="O488" s="225">
        <f t="shared" ref="O488" si="382">I488-N488</f>
        <v>1400000</v>
      </c>
      <c r="P488" s="225"/>
      <c r="Q488" s="225"/>
      <c r="R488" s="225"/>
      <c r="S488" s="225"/>
      <c r="T488" s="225"/>
      <c r="U488" s="225"/>
      <c r="V488" s="222"/>
      <c r="W488" s="283"/>
    </row>
    <row r="489" spans="1:23" x14ac:dyDescent="0.25">
      <c r="A489" s="234"/>
      <c r="B489" s="219" t="s">
        <v>561</v>
      </c>
      <c r="C489" s="219" t="s">
        <v>455</v>
      </c>
      <c r="D489" s="218"/>
      <c r="E489" s="220" t="s">
        <v>83</v>
      </c>
      <c r="F489" s="277"/>
      <c r="G489" s="220"/>
      <c r="H489" s="220"/>
      <c r="I489" s="221">
        <f>SUM(I490:I491)</f>
        <v>1050000</v>
      </c>
      <c r="J489" s="221">
        <f>SUM(J490:J491)</f>
        <v>0</v>
      </c>
      <c r="K489" s="221">
        <f>SUM(K490:K491)</f>
        <v>0</v>
      </c>
      <c r="L489" s="221"/>
      <c r="M489" s="221"/>
      <c r="N489" s="221">
        <f>SUM(N490:N491)</f>
        <v>0</v>
      </c>
      <c r="O489" s="221">
        <f>SUM(O490:O491)</f>
        <v>1050000</v>
      </c>
      <c r="P489" s="221"/>
      <c r="Q489" s="221"/>
      <c r="R489" s="221"/>
      <c r="S489" s="221"/>
      <c r="T489" s="221"/>
      <c r="U489" s="221"/>
      <c r="V489" s="218"/>
      <c r="W489" s="283"/>
    </row>
    <row r="490" spans="1:23" x14ac:dyDescent="0.25">
      <c r="A490" s="233"/>
      <c r="B490" s="223" t="s">
        <v>561</v>
      </c>
      <c r="C490" s="223" t="s">
        <v>467</v>
      </c>
      <c r="D490" s="222"/>
      <c r="E490" s="224" t="s">
        <v>468</v>
      </c>
      <c r="F490" s="258"/>
      <c r="G490" s="224"/>
      <c r="H490" s="224"/>
      <c r="I490" s="225">
        <v>750000</v>
      </c>
      <c r="J490" s="225">
        <v>0</v>
      </c>
      <c r="K490" s="225">
        <f>[1]Nov!I523</f>
        <v>0</v>
      </c>
      <c r="L490" s="225"/>
      <c r="M490" s="225"/>
      <c r="N490" s="225">
        <f t="shared" ref="N490:N491" si="383">J490+K490</f>
        <v>0</v>
      </c>
      <c r="O490" s="225">
        <f t="shared" ref="O490:O491" si="384">I490-N490</f>
        <v>750000</v>
      </c>
      <c r="P490" s="225"/>
      <c r="Q490" s="225"/>
      <c r="R490" s="225"/>
      <c r="S490" s="225"/>
      <c r="T490" s="225"/>
      <c r="U490" s="225"/>
      <c r="V490" s="222"/>
      <c r="W490" s="283"/>
    </row>
    <row r="491" spans="1:23" x14ac:dyDescent="0.25">
      <c r="A491" s="243"/>
      <c r="B491" s="244" t="s">
        <v>561</v>
      </c>
      <c r="C491" s="244" t="s">
        <v>563</v>
      </c>
      <c r="D491" s="245"/>
      <c r="E491" s="246" t="s">
        <v>564</v>
      </c>
      <c r="F491" s="295"/>
      <c r="G491" s="246"/>
      <c r="H491" s="246"/>
      <c r="I491" s="247">
        <v>300000</v>
      </c>
      <c r="J491" s="247">
        <v>0</v>
      </c>
      <c r="K491" s="225">
        <f>[1]Nov!I524</f>
        <v>0</v>
      </c>
      <c r="L491" s="247"/>
      <c r="M491" s="247"/>
      <c r="N491" s="247">
        <f t="shared" si="383"/>
        <v>0</v>
      </c>
      <c r="O491" s="247">
        <f t="shared" si="384"/>
        <v>300000</v>
      </c>
      <c r="P491" s="247"/>
      <c r="Q491" s="247"/>
      <c r="R491" s="247"/>
      <c r="S491" s="247"/>
      <c r="T491" s="247"/>
      <c r="U491" s="247"/>
      <c r="V491" s="245"/>
      <c r="W491" s="281"/>
    </row>
    <row r="492" spans="1:23" x14ac:dyDescent="0.25">
      <c r="A492" s="233"/>
      <c r="B492" s="223"/>
      <c r="C492" s="223"/>
      <c r="D492" s="222"/>
      <c r="E492" s="224"/>
      <c r="F492" s="258"/>
      <c r="G492" s="224"/>
      <c r="H492" s="224"/>
      <c r="I492" s="225"/>
      <c r="J492" s="225"/>
      <c r="K492" s="225"/>
      <c r="L492" s="225"/>
      <c r="M492" s="225"/>
      <c r="N492" s="225"/>
      <c r="O492" s="225"/>
      <c r="P492" s="225"/>
      <c r="Q492" s="225"/>
      <c r="R492" s="225"/>
      <c r="S492" s="225"/>
      <c r="T492" s="225"/>
      <c r="U492" s="225"/>
      <c r="V492" s="222"/>
      <c r="W492" s="281"/>
    </row>
    <row r="493" spans="1:23" ht="30" x14ac:dyDescent="0.25">
      <c r="A493" s="249"/>
      <c r="B493" s="250" t="s">
        <v>565</v>
      </c>
      <c r="C493" s="249"/>
      <c r="D493" s="251"/>
      <c r="E493" s="255" t="s">
        <v>566</v>
      </c>
      <c r="F493" s="255"/>
      <c r="G493" s="252"/>
      <c r="H493" s="252"/>
      <c r="I493" s="253">
        <f>I494</f>
        <v>0</v>
      </c>
      <c r="J493" s="253">
        <f>J494</f>
        <v>0</v>
      </c>
      <c r="K493" s="253">
        <f>K494</f>
        <v>0</v>
      </c>
      <c r="L493" s="253"/>
      <c r="M493" s="253"/>
      <c r="N493" s="253">
        <f>N494</f>
        <v>0</v>
      </c>
      <c r="O493" s="253">
        <f>O494</f>
        <v>0</v>
      </c>
      <c r="P493" s="253"/>
      <c r="Q493" s="253"/>
      <c r="R493" s="253"/>
      <c r="S493" s="253"/>
      <c r="T493" s="253"/>
      <c r="U493" s="253"/>
      <c r="V493" s="251"/>
      <c r="W493" s="283"/>
    </row>
    <row r="494" spans="1:23" x14ac:dyDescent="0.25">
      <c r="A494" s="232"/>
      <c r="B494" s="215" t="s">
        <v>565</v>
      </c>
      <c r="C494" s="215" t="s">
        <v>359</v>
      </c>
      <c r="D494" s="214"/>
      <c r="E494" s="216" t="s">
        <v>67</v>
      </c>
      <c r="F494" s="236"/>
      <c r="G494" s="216"/>
      <c r="H494" s="216"/>
      <c r="I494" s="217">
        <f>I495+I497+I499</f>
        <v>0</v>
      </c>
      <c r="J494" s="217">
        <f>J495+J497+J499</f>
        <v>0</v>
      </c>
      <c r="K494" s="217">
        <f>K495+K497+K499</f>
        <v>0</v>
      </c>
      <c r="L494" s="217"/>
      <c r="M494" s="217"/>
      <c r="N494" s="217">
        <f>N495+N497+N499</f>
        <v>0</v>
      </c>
      <c r="O494" s="217">
        <f>O495+O497+O499</f>
        <v>0</v>
      </c>
      <c r="P494" s="217"/>
      <c r="Q494" s="217"/>
      <c r="R494" s="217"/>
      <c r="S494" s="217"/>
      <c r="T494" s="217"/>
      <c r="U494" s="217"/>
      <c r="V494" s="214"/>
      <c r="W494" s="282"/>
    </row>
    <row r="495" spans="1:23" x14ac:dyDescent="0.25">
      <c r="A495" s="234"/>
      <c r="B495" s="219" t="s">
        <v>565</v>
      </c>
      <c r="C495" s="219" t="s">
        <v>360</v>
      </c>
      <c r="D495" s="218"/>
      <c r="E495" s="220" t="s">
        <v>361</v>
      </c>
      <c r="F495" s="277"/>
      <c r="G495" s="220"/>
      <c r="H495" s="220"/>
      <c r="I495" s="221">
        <f>SUM(I496)</f>
        <v>0</v>
      </c>
      <c r="J495" s="221">
        <f>SUM(J496)</f>
        <v>0</v>
      </c>
      <c r="K495" s="221">
        <f>SUM(K496)</f>
        <v>0</v>
      </c>
      <c r="L495" s="221"/>
      <c r="M495" s="221"/>
      <c r="N495" s="221">
        <f>SUM(N496)</f>
        <v>0</v>
      </c>
      <c r="O495" s="221">
        <f>SUM(O496)</f>
        <v>0</v>
      </c>
      <c r="P495" s="221"/>
      <c r="Q495" s="221"/>
      <c r="R495" s="221"/>
      <c r="S495" s="221"/>
      <c r="T495" s="221"/>
      <c r="U495" s="221"/>
      <c r="V495" s="218"/>
      <c r="W495" s="283"/>
    </row>
    <row r="496" spans="1:23" x14ac:dyDescent="0.25">
      <c r="A496" s="233"/>
      <c r="B496" s="223" t="s">
        <v>565</v>
      </c>
      <c r="C496" s="223" t="s">
        <v>368</v>
      </c>
      <c r="D496" s="222"/>
      <c r="E496" s="224" t="s">
        <v>369</v>
      </c>
      <c r="F496" s="258"/>
      <c r="G496" s="224"/>
      <c r="H496" s="224"/>
      <c r="I496" s="225">
        <v>0</v>
      </c>
      <c r="J496" s="225">
        <v>0</v>
      </c>
      <c r="K496" s="225">
        <f>[1]Nov!I529</f>
        <v>0</v>
      </c>
      <c r="L496" s="225"/>
      <c r="M496" s="225"/>
      <c r="N496" s="225">
        <f t="shared" ref="N496" si="385">J496+K496</f>
        <v>0</v>
      </c>
      <c r="O496" s="225">
        <f t="shared" ref="O496" si="386">I496-N496</f>
        <v>0</v>
      </c>
      <c r="P496" s="225"/>
      <c r="Q496" s="225"/>
      <c r="R496" s="225"/>
      <c r="S496" s="225"/>
      <c r="T496" s="225"/>
      <c r="U496" s="225"/>
      <c r="V496" s="222"/>
      <c r="W496" s="283"/>
    </row>
    <row r="497" spans="1:23" x14ac:dyDescent="0.25">
      <c r="A497" s="234"/>
      <c r="B497" s="219" t="s">
        <v>565</v>
      </c>
      <c r="C497" s="219" t="s">
        <v>455</v>
      </c>
      <c r="D497" s="218"/>
      <c r="E497" s="220" t="s">
        <v>83</v>
      </c>
      <c r="F497" s="277"/>
      <c r="G497" s="220"/>
      <c r="H497" s="220"/>
      <c r="I497" s="221">
        <f>SUM(I498)</f>
        <v>0</v>
      </c>
      <c r="J497" s="221">
        <f>SUM(J498)</f>
        <v>0</v>
      </c>
      <c r="K497" s="221">
        <f>SUM(K498)</f>
        <v>0</v>
      </c>
      <c r="L497" s="221"/>
      <c r="M497" s="221"/>
      <c r="N497" s="221">
        <f>SUM(N498)</f>
        <v>0</v>
      </c>
      <c r="O497" s="221">
        <f>SUM(O498)</f>
        <v>0</v>
      </c>
      <c r="P497" s="221"/>
      <c r="Q497" s="221"/>
      <c r="R497" s="221"/>
      <c r="S497" s="221"/>
      <c r="T497" s="221"/>
      <c r="U497" s="221"/>
      <c r="V497" s="218"/>
      <c r="W497" s="281"/>
    </row>
    <row r="498" spans="1:23" x14ac:dyDescent="0.25">
      <c r="A498" s="233"/>
      <c r="B498" s="223" t="s">
        <v>565</v>
      </c>
      <c r="C498" s="223" t="s">
        <v>467</v>
      </c>
      <c r="D498" s="222"/>
      <c r="E498" s="224" t="s">
        <v>468</v>
      </c>
      <c r="F498" s="258"/>
      <c r="G498" s="224"/>
      <c r="H498" s="224"/>
      <c r="I498" s="225">
        <v>0</v>
      </c>
      <c r="J498" s="225">
        <v>0</v>
      </c>
      <c r="K498" s="225">
        <f>[1]Nov!I531</f>
        <v>0</v>
      </c>
      <c r="L498" s="225"/>
      <c r="M498" s="225"/>
      <c r="N498" s="225">
        <f t="shared" ref="N498" si="387">J498+K498</f>
        <v>0</v>
      </c>
      <c r="O498" s="225">
        <f t="shared" ref="O498" si="388">I498-N498</f>
        <v>0</v>
      </c>
      <c r="P498" s="225"/>
      <c r="Q498" s="225"/>
      <c r="R498" s="225"/>
      <c r="S498" s="225"/>
      <c r="T498" s="225"/>
      <c r="U498" s="225"/>
      <c r="V498" s="222"/>
      <c r="W498" s="281"/>
    </row>
    <row r="499" spans="1:23" ht="28.5" x14ac:dyDescent="0.25">
      <c r="A499" s="234"/>
      <c r="B499" s="219" t="s">
        <v>565</v>
      </c>
      <c r="C499" s="219" t="s">
        <v>460</v>
      </c>
      <c r="D499" s="218"/>
      <c r="E499" s="277" t="s">
        <v>461</v>
      </c>
      <c r="F499" s="277"/>
      <c r="G499" s="220"/>
      <c r="H499" s="220"/>
      <c r="I499" s="221">
        <f>SUM(I500)</f>
        <v>0</v>
      </c>
      <c r="J499" s="221">
        <f>SUM(J500)</f>
        <v>0</v>
      </c>
      <c r="K499" s="221">
        <f>SUM(K500)</f>
        <v>0</v>
      </c>
      <c r="L499" s="221"/>
      <c r="M499" s="221"/>
      <c r="N499" s="221">
        <f>SUM(N500)</f>
        <v>0</v>
      </c>
      <c r="O499" s="221">
        <f>SUM(O500)</f>
        <v>0</v>
      </c>
      <c r="P499" s="221"/>
      <c r="Q499" s="221"/>
      <c r="R499" s="221"/>
      <c r="S499" s="221"/>
      <c r="T499" s="221"/>
      <c r="U499" s="221"/>
      <c r="V499" s="218"/>
      <c r="W499" s="282"/>
    </row>
    <row r="500" spans="1:23" ht="30" x14ac:dyDescent="0.25">
      <c r="A500" s="233"/>
      <c r="B500" s="223" t="s">
        <v>565</v>
      </c>
      <c r="C500" s="223" t="s">
        <v>462</v>
      </c>
      <c r="D500" s="222"/>
      <c r="E500" s="258" t="s">
        <v>463</v>
      </c>
      <c r="F500" s="258"/>
      <c r="G500" s="224"/>
      <c r="H500" s="224"/>
      <c r="I500" s="225">
        <v>0</v>
      </c>
      <c r="J500" s="225">
        <v>0</v>
      </c>
      <c r="K500" s="225">
        <f>[1]Nov!I533</f>
        <v>0</v>
      </c>
      <c r="L500" s="225"/>
      <c r="M500" s="225"/>
      <c r="N500" s="225">
        <f t="shared" ref="N500" si="389">J500+K500</f>
        <v>0</v>
      </c>
      <c r="O500" s="225">
        <f t="shared" ref="O500" si="390">I500-N500</f>
        <v>0</v>
      </c>
      <c r="P500" s="225"/>
      <c r="Q500" s="225"/>
      <c r="R500" s="225"/>
      <c r="S500" s="225"/>
      <c r="T500" s="225"/>
      <c r="U500" s="225"/>
      <c r="V500" s="222"/>
      <c r="W500" s="283"/>
    </row>
    <row r="501" spans="1:23" x14ac:dyDescent="0.25">
      <c r="A501" s="233"/>
      <c r="B501" s="223"/>
      <c r="C501" s="223"/>
      <c r="D501" s="222"/>
      <c r="E501" s="258"/>
      <c r="F501" s="258"/>
      <c r="G501" s="224"/>
      <c r="H501" s="224"/>
      <c r="I501" s="225"/>
      <c r="J501" s="225"/>
      <c r="K501" s="225"/>
      <c r="L501" s="225"/>
      <c r="M501" s="225"/>
      <c r="N501" s="225"/>
      <c r="O501" s="225"/>
      <c r="P501" s="225"/>
      <c r="Q501" s="225"/>
      <c r="R501" s="225"/>
      <c r="S501" s="225"/>
      <c r="T501" s="225"/>
      <c r="U501" s="225"/>
      <c r="V501" s="222"/>
      <c r="W501" s="282"/>
    </row>
    <row r="502" spans="1:23" x14ac:dyDescent="0.25">
      <c r="A502" s="232"/>
      <c r="B502" s="215" t="s">
        <v>567</v>
      </c>
      <c r="C502" s="232"/>
      <c r="D502" s="216" t="s">
        <v>568</v>
      </c>
      <c r="E502" s="291"/>
      <c r="F502" s="291"/>
      <c r="G502" s="214"/>
      <c r="H502" s="214"/>
      <c r="I502" s="217">
        <f>I503+I511</f>
        <v>2792500</v>
      </c>
      <c r="J502" s="217">
        <f>J503+J511</f>
        <v>295000</v>
      </c>
      <c r="K502" s="217">
        <f>K503+K511</f>
        <v>2468250</v>
      </c>
      <c r="L502" s="217"/>
      <c r="M502" s="217"/>
      <c r="N502" s="217">
        <f>N503+N511</f>
        <v>2763250</v>
      </c>
      <c r="O502" s="217">
        <f>O503+O511</f>
        <v>29250</v>
      </c>
      <c r="P502" s="217"/>
      <c r="Q502" s="217">
        <f>Q503+Q511</f>
        <v>0</v>
      </c>
      <c r="R502" s="217">
        <f>R503+R511</f>
        <v>1043250</v>
      </c>
      <c r="S502" s="217">
        <f>S503+S511</f>
        <v>400000</v>
      </c>
      <c r="T502" s="217">
        <f>T503+T511</f>
        <v>1320000</v>
      </c>
      <c r="U502" s="217">
        <f>U503+U511</f>
        <v>0</v>
      </c>
      <c r="V502" s="214"/>
      <c r="W502" s="283"/>
    </row>
    <row r="503" spans="1:23" ht="42.75" customHeight="1" x14ac:dyDescent="0.25">
      <c r="A503" s="232"/>
      <c r="B503" s="215" t="s">
        <v>569</v>
      </c>
      <c r="C503" s="232"/>
      <c r="D503" s="214"/>
      <c r="E503" s="236" t="s">
        <v>570</v>
      </c>
      <c r="F503" s="236" t="s">
        <v>721</v>
      </c>
      <c r="G503" s="216"/>
      <c r="H503" s="216"/>
      <c r="I503" s="217">
        <f>I504</f>
        <v>1320000</v>
      </c>
      <c r="J503" s="217">
        <f>J504</f>
        <v>0</v>
      </c>
      <c r="K503" s="217">
        <f>K504</f>
        <v>1320000</v>
      </c>
      <c r="L503" s="217"/>
      <c r="M503" s="217"/>
      <c r="N503" s="217">
        <f>N504</f>
        <v>1320000</v>
      </c>
      <c r="O503" s="217">
        <f>O504</f>
        <v>0</v>
      </c>
      <c r="P503" s="217"/>
      <c r="Q503" s="217">
        <f t="shared" ref="Q503:U503" si="391">Q504</f>
        <v>0</v>
      </c>
      <c r="R503" s="217">
        <f t="shared" si="391"/>
        <v>0</v>
      </c>
      <c r="S503" s="217">
        <f t="shared" si="391"/>
        <v>0</v>
      </c>
      <c r="T503" s="217">
        <f t="shared" si="391"/>
        <v>1320000</v>
      </c>
      <c r="U503" s="217">
        <f t="shared" si="391"/>
        <v>0</v>
      </c>
      <c r="V503" s="214"/>
      <c r="W503" s="283"/>
    </row>
    <row r="504" spans="1:23" x14ac:dyDescent="0.25">
      <c r="A504" s="232"/>
      <c r="B504" s="215" t="s">
        <v>569</v>
      </c>
      <c r="C504" s="215" t="s">
        <v>359</v>
      </c>
      <c r="D504" s="214"/>
      <c r="E504" s="216" t="s">
        <v>67</v>
      </c>
      <c r="F504" s="236"/>
      <c r="G504" s="216"/>
      <c r="H504" s="216"/>
      <c r="I504" s="217">
        <f>I505+I508</f>
        <v>1320000</v>
      </c>
      <c r="J504" s="217">
        <f>J505+J508</f>
        <v>0</v>
      </c>
      <c r="K504" s="217">
        <f>K505+K508</f>
        <v>1320000</v>
      </c>
      <c r="L504" s="217"/>
      <c r="M504" s="217"/>
      <c r="N504" s="217">
        <f>N505+N508</f>
        <v>1320000</v>
      </c>
      <c r="O504" s="217">
        <f>O505+O508</f>
        <v>0</v>
      </c>
      <c r="P504" s="217"/>
      <c r="Q504" s="217">
        <f t="shared" ref="Q504:U504" si="392">Q505+Q508</f>
        <v>0</v>
      </c>
      <c r="R504" s="217">
        <f t="shared" si="392"/>
        <v>0</v>
      </c>
      <c r="S504" s="217">
        <f t="shared" si="392"/>
        <v>0</v>
      </c>
      <c r="T504" s="217">
        <f t="shared" si="392"/>
        <v>1320000</v>
      </c>
      <c r="U504" s="217">
        <f t="shared" si="392"/>
        <v>0</v>
      </c>
      <c r="V504" s="214"/>
      <c r="W504" s="283"/>
    </row>
    <row r="505" spans="1:23" x14ac:dyDescent="0.25">
      <c r="A505" s="234"/>
      <c r="B505" s="219" t="s">
        <v>569</v>
      </c>
      <c r="C505" s="219" t="s">
        <v>360</v>
      </c>
      <c r="D505" s="218"/>
      <c r="E505" s="220" t="s">
        <v>361</v>
      </c>
      <c r="F505" s="277"/>
      <c r="G505" s="220"/>
      <c r="H505" s="220"/>
      <c r="I505" s="221">
        <f>SUM(I506:I507)</f>
        <v>870000</v>
      </c>
      <c r="J505" s="221">
        <f>SUM(J506:J507)</f>
        <v>0</v>
      </c>
      <c r="K505" s="221">
        <f>SUM(K506:K507)</f>
        <v>870000</v>
      </c>
      <c r="L505" s="221"/>
      <c r="M505" s="221"/>
      <c r="N505" s="221">
        <f>SUM(N506:N507)</f>
        <v>870000</v>
      </c>
      <c r="O505" s="221">
        <f>SUM(O506:O507)</f>
        <v>0</v>
      </c>
      <c r="P505" s="221"/>
      <c r="Q505" s="221">
        <f t="shared" ref="Q505:U505" si="393">SUM(Q506:Q507)</f>
        <v>0</v>
      </c>
      <c r="R505" s="221">
        <f t="shared" si="393"/>
        <v>0</v>
      </c>
      <c r="S505" s="221">
        <f t="shared" si="393"/>
        <v>0</v>
      </c>
      <c r="T505" s="221">
        <f t="shared" si="393"/>
        <v>870000</v>
      </c>
      <c r="U505" s="221">
        <f t="shared" si="393"/>
        <v>0</v>
      </c>
      <c r="V505" s="218"/>
      <c r="W505" s="283"/>
    </row>
    <row r="506" spans="1:23" x14ac:dyDescent="0.25">
      <c r="A506" s="233"/>
      <c r="B506" s="223" t="s">
        <v>569</v>
      </c>
      <c r="C506" s="223" t="s">
        <v>366</v>
      </c>
      <c r="D506" s="222"/>
      <c r="E506" s="224" t="s">
        <v>367</v>
      </c>
      <c r="F506" s="258"/>
      <c r="G506" s="224"/>
      <c r="H506" s="224"/>
      <c r="I506" s="225">
        <v>50000</v>
      </c>
      <c r="J506" s="225">
        <v>0</v>
      </c>
      <c r="K506" s="225">
        <f>[1]Nov!I539</f>
        <v>50000</v>
      </c>
      <c r="L506" s="225"/>
      <c r="M506" s="225"/>
      <c r="N506" s="225">
        <f t="shared" ref="N506:N507" si="394">J506+K506</f>
        <v>50000</v>
      </c>
      <c r="O506" s="225">
        <f t="shared" ref="O506:O507" si="395">I506-N506</f>
        <v>0</v>
      </c>
      <c r="P506" s="225"/>
      <c r="Q506" s="225"/>
      <c r="R506" s="225"/>
      <c r="S506" s="225"/>
      <c r="T506" s="225">
        <f>N506</f>
        <v>50000</v>
      </c>
      <c r="U506" s="225"/>
      <c r="V506" s="222"/>
      <c r="W506" s="281"/>
    </row>
    <row r="507" spans="1:23" x14ac:dyDescent="0.25">
      <c r="A507" s="233"/>
      <c r="B507" s="223" t="s">
        <v>569</v>
      </c>
      <c r="C507" s="223" t="s">
        <v>368</v>
      </c>
      <c r="D507" s="222"/>
      <c r="E507" s="224" t="s">
        <v>369</v>
      </c>
      <c r="F507" s="258"/>
      <c r="G507" s="224"/>
      <c r="H507" s="224"/>
      <c r="I507" s="225">
        <v>820000</v>
      </c>
      <c r="J507" s="225">
        <v>0</v>
      </c>
      <c r="K507" s="225">
        <f>[1]Nov!I540</f>
        <v>820000</v>
      </c>
      <c r="L507" s="225"/>
      <c r="M507" s="225"/>
      <c r="N507" s="225">
        <f t="shared" si="394"/>
        <v>820000</v>
      </c>
      <c r="O507" s="225">
        <f t="shared" si="395"/>
        <v>0</v>
      </c>
      <c r="P507" s="225"/>
      <c r="Q507" s="225"/>
      <c r="R507" s="225"/>
      <c r="S507" s="225"/>
      <c r="T507" s="225">
        <f>N507</f>
        <v>820000</v>
      </c>
      <c r="U507" s="225"/>
      <c r="V507" s="222"/>
      <c r="W507" s="281"/>
    </row>
    <row r="508" spans="1:23" x14ac:dyDescent="0.25">
      <c r="A508" s="234"/>
      <c r="B508" s="219" t="s">
        <v>569</v>
      </c>
      <c r="C508" s="219" t="s">
        <v>370</v>
      </c>
      <c r="D508" s="218"/>
      <c r="E508" s="220" t="s">
        <v>81</v>
      </c>
      <c r="F508" s="277"/>
      <c r="G508" s="220"/>
      <c r="H508" s="220"/>
      <c r="I508" s="221">
        <f>SUM(I509)</f>
        <v>450000</v>
      </c>
      <c r="J508" s="221">
        <f>SUM(J509)</f>
        <v>0</v>
      </c>
      <c r="K508" s="221">
        <f>SUM(K509)</f>
        <v>450000</v>
      </c>
      <c r="L508" s="221"/>
      <c r="M508" s="221"/>
      <c r="N508" s="221">
        <f>SUM(N509)</f>
        <v>450000</v>
      </c>
      <c r="O508" s="221">
        <f>SUM(O509)</f>
        <v>0</v>
      </c>
      <c r="P508" s="221"/>
      <c r="Q508" s="221">
        <f t="shared" ref="Q508:U508" si="396">SUM(Q509)</f>
        <v>0</v>
      </c>
      <c r="R508" s="221">
        <f t="shared" si="396"/>
        <v>0</v>
      </c>
      <c r="S508" s="221">
        <f t="shared" si="396"/>
        <v>0</v>
      </c>
      <c r="T508" s="221">
        <f t="shared" si="396"/>
        <v>450000</v>
      </c>
      <c r="U508" s="221">
        <f t="shared" si="396"/>
        <v>0</v>
      </c>
      <c r="V508" s="218"/>
      <c r="W508" s="282"/>
    </row>
    <row r="509" spans="1:23" ht="30" x14ac:dyDescent="0.25">
      <c r="A509" s="233"/>
      <c r="B509" s="223" t="s">
        <v>569</v>
      </c>
      <c r="C509" s="223" t="s">
        <v>476</v>
      </c>
      <c r="D509" s="222"/>
      <c r="E509" s="258" t="s">
        <v>477</v>
      </c>
      <c r="F509" s="258"/>
      <c r="G509" s="224"/>
      <c r="H509" s="224"/>
      <c r="I509" s="225">
        <v>450000</v>
      </c>
      <c r="J509" s="225">
        <v>0</v>
      </c>
      <c r="K509" s="225">
        <f>[1]Nov!I542</f>
        <v>450000</v>
      </c>
      <c r="L509" s="225"/>
      <c r="M509" s="225"/>
      <c r="N509" s="225">
        <f t="shared" ref="N509" si="397">J509+K509</f>
        <v>450000</v>
      </c>
      <c r="O509" s="225">
        <f t="shared" ref="O509" si="398">I509-N509</f>
        <v>0</v>
      </c>
      <c r="P509" s="225"/>
      <c r="Q509" s="225"/>
      <c r="R509" s="225"/>
      <c r="S509" s="225"/>
      <c r="T509" s="225">
        <f>N509</f>
        <v>450000</v>
      </c>
      <c r="U509" s="225"/>
      <c r="V509" s="222"/>
      <c r="W509" s="283"/>
    </row>
    <row r="510" spans="1:23" x14ac:dyDescent="0.25">
      <c r="A510" s="233"/>
      <c r="B510" s="223"/>
      <c r="C510" s="223"/>
      <c r="D510" s="222"/>
      <c r="E510" s="258"/>
      <c r="F510" s="258"/>
      <c r="G510" s="224"/>
      <c r="H510" s="224"/>
      <c r="I510" s="225"/>
      <c r="J510" s="225"/>
      <c r="K510" s="225"/>
      <c r="L510" s="225"/>
      <c r="M510" s="225"/>
      <c r="N510" s="225"/>
      <c r="O510" s="225"/>
      <c r="P510" s="225"/>
      <c r="Q510" s="225"/>
      <c r="R510" s="225"/>
      <c r="S510" s="225"/>
      <c r="T510" s="225"/>
      <c r="U510" s="225"/>
      <c r="V510" s="222"/>
      <c r="W510" s="283"/>
    </row>
    <row r="511" spans="1:23" ht="45" x14ac:dyDescent="0.25">
      <c r="A511" s="232"/>
      <c r="B511" s="215" t="s">
        <v>571</v>
      </c>
      <c r="C511" s="232"/>
      <c r="D511" s="214"/>
      <c r="E511" s="216" t="s">
        <v>572</v>
      </c>
      <c r="F511" s="236" t="s">
        <v>722</v>
      </c>
      <c r="G511" s="216"/>
      <c r="H511" s="216"/>
      <c r="I511" s="217">
        <f t="shared" ref="I511:U512" si="399">I512</f>
        <v>1472500</v>
      </c>
      <c r="J511" s="217">
        <f t="shared" si="399"/>
        <v>295000</v>
      </c>
      <c r="K511" s="217">
        <f t="shared" si="399"/>
        <v>1148250</v>
      </c>
      <c r="L511" s="217"/>
      <c r="M511" s="217"/>
      <c r="N511" s="217">
        <f t="shared" si="399"/>
        <v>1443250</v>
      </c>
      <c r="O511" s="217">
        <f t="shared" si="399"/>
        <v>29250</v>
      </c>
      <c r="P511" s="217"/>
      <c r="Q511" s="217">
        <f t="shared" si="399"/>
        <v>0</v>
      </c>
      <c r="R511" s="217">
        <f t="shared" si="399"/>
        <v>1043250</v>
      </c>
      <c r="S511" s="217">
        <f t="shared" si="399"/>
        <v>400000</v>
      </c>
      <c r="T511" s="217">
        <f t="shared" si="399"/>
        <v>0</v>
      </c>
      <c r="U511" s="217">
        <f t="shared" si="399"/>
        <v>0</v>
      </c>
      <c r="V511" s="214"/>
      <c r="W511" s="283"/>
    </row>
    <row r="512" spans="1:23" x14ac:dyDescent="0.25">
      <c r="A512" s="232"/>
      <c r="B512" s="215" t="s">
        <v>571</v>
      </c>
      <c r="C512" s="215" t="s">
        <v>359</v>
      </c>
      <c r="D512" s="214"/>
      <c r="E512" s="216" t="s">
        <v>67</v>
      </c>
      <c r="F512" s="236"/>
      <c r="G512" s="216"/>
      <c r="H512" s="216"/>
      <c r="I512" s="217">
        <f t="shared" si="399"/>
        <v>1472500</v>
      </c>
      <c r="J512" s="217">
        <f t="shared" si="399"/>
        <v>295000</v>
      </c>
      <c r="K512" s="217">
        <f t="shared" si="399"/>
        <v>1148250</v>
      </c>
      <c r="L512" s="217"/>
      <c r="M512" s="217"/>
      <c r="N512" s="217">
        <f t="shared" si="399"/>
        <v>1443250</v>
      </c>
      <c r="O512" s="217">
        <f t="shared" si="399"/>
        <v>29250</v>
      </c>
      <c r="P512" s="217"/>
      <c r="Q512" s="217">
        <f t="shared" si="399"/>
        <v>0</v>
      </c>
      <c r="R512" s="217">
        <f t="shared" si="399"/>
        <v>1043250</v>
      </c>
      <c r="S512" s="217">
        <f t="shared" si="399"/>
        <v>400000</v>
      </c>
      <c r="T512" s="217">
        <f t="shared" si="399"/>
        <v>0</v>
      </c>
      <c r="U512" s="217">
        <f t="shared" si="399"/>
        <v>0</v>
      </c>
      <c r="V512" s="214"/>
      <c r="W512" s="281"/>
    </row>
    <row r="513" spans="1:23" x14ac:dyDescent="0.25">
      <c r="A513" s="234"/>
      <c r="B513" s="219" t="s">
        <v>571</v>
      </c>
      <c r="C513" s="219" t="s">
        <v>360</v>
      </c>
      <c r="D513" s="218"/>
      <c r="E513" s="220" t="s">
        <v>361</v>
      </c>
      <c r="F513" s="277"/>
      <c r="G513" s="220"/>
      <c r="H513" s="220"/>
      <c r="I513" s="221">
        <f>SUM(I514:I516)</f>
        <v>1472500</v>
      </c>
      <c r="J513" s="221">
        <f>SUM(J514:J516)</f>
        <v>295000</v>
      </c>
      <c r="K513" s="221">
        <f>SUM(K514:K516)</f>
        <v>1148250</v>
      </c>
      <c r="L513" s="221"/>
      <c r="M513" s="221"/>
      <c r="N513" s="221">
        <f>SUM(N514:N516)</f>
        <v>1443250</v>
      </c>
      <c r="O513" s="221">
        <f>SUM(O514:O516)</f>
        <v>29250</v>
      </c>
      <c r="P513" s="221"/>
      <c r="Q513" s="221">
        <f t="shared" ref="Q513:U513" si="400">SUM(Q514:Q516)</f>
        <v>0</v>
      </c>
      <c r="R513" s="221">
        <f t="shared" si="400"/>
        <v>1043250</v>
      </c>
      <c r="S513" s="221">
        <f t="shared" si="400"/>
        <v>400000</v>
      </c>
      <c r="T513" s="221">
        <f t="shared" si="400"/>
        <v>0</v>
      </c>
      <c r="U513" s="221">
        <f t="shared" si="400"/>
        <v>0</v>
      </c>
      <c r="V513" s="218"/>
      <c r="W513" s="281"/>
    </row>
    <row r="514" spans="1:23" x14ac:dyDescent="0.25">
      <c r="A514" s="233"/>
      <c r="B514" s="223" t="s">
        <v>571</v>
      </c>
      <c r="C514" s="223" t="s">
        <v>362</v>
      </c>
      <c r="D514" s="222"/>
      <c r="E514" s="224" t="s">
        <v>363</v>
      </c>
      <c r="F514" s="258"/>
      <c r="G514" s="224"/>
      <c r="H514" s="224"/>
      <c r="I514" s="225">
        <v>200000</v>
      </c>
      <c r="J514" s="225">
        <v>0</v>
      </c>
      <c r="K514" s="225">
        <f>[1]Nov!I549</f>
        <v>200000</v>
      </c>
      <c r="L514" s="225"/>
      <c r="M514" s="225"/>
      <c r="N514" s="225">
        <f t="shared" ref="N514:N516" si="401">J514+K514</f>
        <v>200000</v>
      </c>
      <c r="O514" s="225">
        <f t="shared" ref="O514:O516" si="402">I514-N514</f>
        <v>0</v>
      </c>
      <c r="P514" s="225"/>
      <c r="Q514" s="225"/>
      <c r="R514" s="225"/>
      <c r="S514" s="225">
        <f>N514</f>
        <v>200000</v>
      </c>
      <c r="T514" s="225"/>
      <c r="U514" s="225"/>
      <c r="V514" s="222"/>
      <c r="W514" s="282"/>
    </row>
    <row r="515" spans="1:23" x14ac:dyDescent="0.25">
      <c r="A515" s="233"/>
      <c r="B515" s="223" t="s">
        <v>571</v>
      </c>
      <c r="C515" s="223" t="s">
        <v>366</v>
      </c>
      <c r="D515" s="222"/>
      <c r="E515" s="224" t="s">
        <v>367</v>
      </c>
      <c r="F515" s="258"/>
      <c r="G515" s="224"/>
      <c r="H515" s="224"/>
      <c r="I515" s="225">
        <v>200000</v>
      </c>
      <c r="J515" s="225">
        <v>100000</v>
      </c>
      <c r="K515" s="225">
        <f>[1]Nov!I550</f>
        <v>100000</v>
      </c>
      <c r="L515" s="225"/>
      <c r="M515" s="225"/>
      <c r="N515" s="225">
        <f t="shared" si="401"/>
        <v>200000</v>
      </c>
      <c r="O515" s="225">
        <f t="shared" si="402"/>
        <v>0</v>
      </c>
      <c r="P515" s="225"/>
      <c r="Q515" s="225"/>
      <c r="R515" s="225"/>
      <c r="S515" s="225">
        <f>N515</f>
        <v>200000</v>
      </c>
      <c r="T515" s="225"/>
      <c r="U515" s="225"/>
      <c r="V515" s="222"/>
      <c r="W515" s="283"/>
    </row>
    <row r="516" spans="1:23" x14ac:dyDescent="0.25">
      <c r="A516" s="233"/>
      <c r="B516" s="223" t="s">
        <v>571</v>
      </c>
      <c r="C516" s="223" t="s">
        <v>368</v>
      </c>
      <c r="D516" s="222"/>
      <c r="E516" s="224" t="s">
        <v>369</v>
      </c>
      <c r="F516" s="258"/>
      <c r="G516" s="224"/>
      <c r="H516" s="224"/>
      <c r="I516" s="225">
        <v>1072500</v>
      </c>
      <c r="J516" s="225">
        <v>195000</v>
      </c>
      <c r="K516" s="225">
        <f>[1]Nov!I551</f>
        <v>848250</v>
      </c>
      <c r="L516" s="225"/>
      <c r="M516" s="225"/>
      <c r="N516" s="225">
        <f t="shared" si="401"/>
        <v>1043250</v>
      </c>
      <c r="O516" s="225">
        <f t="shared" si="402"/>
        <v>29250</v>
      </c>
      <c r="P516" s="225"/>
      <c r="Q516" s="225"/>
      <c r="R516" s="225">
        <f>N516</f>
        <v>1043250</v>
      </c>
      <c r="S516" s="225"/>
      <c r="T516" s="225"/>
      <c r="U516" s="225"/>
      <c r="V516" s="222"/>
      <c r="W516" s="283"/>
    </row>
    <row r="517" spans="1:23" x14ac:dyDescent="0.25">
      <c r="A517" s="233"/>
      <c r="B517" s="223"/>
      <c r="C517" s="223"/>
      <c r="D517" s="222"/>
      <c r="E517" s="224"/>
      <c r="F517" s="258"/>
      <c r="G517" s="224"/>
      <c r="H517" s="224"/>
      <c r="I517" s="225"/>
      <c r="J517" s="225"/>
      <c r="K517" s="225"/>
      <c r="L517" s="225"/>
      <c r="M517" s="225"/>
      <c r="N517" s="225"/>
      <c r="O517" s="225"/>
      <c r="P517" s="225"/>
      <c r="Q517" s="225"/>
      <c r="R517" s="225"/>
      <c r="S517" s="225"/>
      <c r="T517" s="225"/>
      <c r="U517" s="225"/>
      <c r="V517" s="222"/>
      <c r="W517" s="282"/>
    </row>
    <row r="518" spans="1:23" x14ac:dyDescent="0.25">
      <c r="A518" s="232"/>
      <c r="B518" s="215" t="s">
        <v>573</v>
      </c>
      <c r="C518" s="232"/>
      <c r="D518" s="216" t="s">
        <v>112</v>
      </c>
      <c r="E518" s="214"/>
      <c r="F518" s="291"/>
      <c r="G518" s="214"/>
      <c r="H518" s="214"/>
      <c r="I518" s="217">
        <f>I519+I527+I534+I543+I551+I557+I565+I572</f>
        <v>15272520</v>
      </c>
      <c r="J518" s="217">
        <f>J519+J527+J534+J543+J551+J557+J565+J572</f>
        <v>3729500</v>
      </c>
      <c r="K518" s="217">
        <f>K519+K527+K534+K543+K551+K557+K565+K572</f>
        <v>10311500</v>
      </c>
      <c r="L518" s="217"/>
      <c r="M518" s="217"/>
      <c r="N518" s="217">
        <f>N519+N527+N534+N543+N551+N557+N565+N572</f>
        <v>14041000</v>
      </c>
      <c r="O518" s="217">
        <f>O519+O527+O534+O543+O551+O557+O565+O572</f>
        <v>1231520</v>
      </c>
      <c r="P518" s="217"/>
      <c r="Q518" s="217">
        <f>Q519+Q527+Q534+Q543+Q551+Q557+Q565+Q572</f>
        <v>0</v>
      </c>
      <c r="R518" s="217">
        <f>R519+R527+R534+R543+R551+R557+R565+R572</f>
        <v>1988500</v>
      </c>
      <c r="S518" s="217">
        <f>S519+S527+S534+S543+S551+S557+S565+S572</f>
        <v>7132000</v>
      </c>
      <c r="T518" s="217">
        <f>T519+T527+T534+T543+T551+T557+T565+T572</f>
        <v>2350500</v>
      </c>
      <c r="U518" s="217">
        <f>U519+U527+U534+U543+U551+U557+U565+U572</f>
        <v>2570000</v>
      </c>
      <c r="V518" s="214"/>
      <c r="W518" s="283"/>
    </row>
    <row r="519" spans="1:23" ht="30" x14ac:dyDescent="0.25">
      <c r="A519" s="232"/>
      <c r="B519" s="215" t="s">
        <v>574</v>
      </c>
      <c r="C519" s="232"/>
      <c r="D519" s="214"/>
      <c r="E519" s="216" t="s">
        <v>575</v>
      </c>
      <c r="F519" s="236" t="s">
        <v>723</v>
      </c>
      <c r="G519" s="216"/>
      <c r="H519" s="216"/>
      <c r="I519" s="217">
        <f>I520</f>
        <v>1320000</v>
      </c>
      <c r="J519" s="217">
        <f>J520</f>
        <v>0</v>
      </c>
      <c r="K519" s="217">
        <f>K520</f>
        <v>1320000</v>
      </c>
      <c r="L519" s="217"/>
      <c r="M519" s="217"/>
      <c r="N519" s="217">
        <f>N520</f>
        <v>1320000</v>
      </c>
      <c r="O519" s="217">
        <f>O520</f>
        <v>0</v>
      </c>
      <c r="P519" s="217"/>
      <c r="Q519" s="217">
        <f t="shared" ref="Q519:U519" si="403">Q520</f>
        <v>0</v>
      </c>
      <c r="R519" s="217">
        <f t="shared" si="403"/>
        <v>0</v>
      </c>
      <c r="S519" s="217">
        <f t="shared" si="403"/>
        <v>1320000</v>
      </c>
      <c r="T519" s="217">
        <f t="shared" si="403"/>
        <v>0</v>
      </c>
      <c r="U519" s="217">
        <f t="shared" si="403"/>
        <v>0</v>
      </c>
      <c r="V519" s="214"/>
      <c r="W519" s="283"/>
    </row>
    <row r="520" spans="1:23" x14ac:dyDescent="0.25">
      <c r="A520" s="232"/>
      <c r="B520" s="215" t="s">
        <v>574</v>
      </c>
      <c r="C520" s="215" t="s">
        <v>359</v>
      </c>
      <c r="D520" s="214"/>
      <c r="E520" s="216" t="s">
        <v>67</v>
      </c>
      <c r="F520" s="236"/>
      <c r="G520" s="216"/>
      <c r="H520" s="216"/>
      <c r="I520" s="217">
        <f>I521+I524</f>
        <v>1320000</v>
      </c>
      <c r="J520" s="217">
        <f>J521+J524</f>
        <v>0</v>
      </c>
      <c r="K520" s="217">
        <f>K521+K524</f>
        <v>1320000</v>
      </c>
      <c r="L520" s="217"/>
      <c r="M520" s="217"/>
      <c r="N520" s="217">
        <f>N521+N524</f>
        <v>1320000</v>
      </c>
      <c r="O520" s="217">
        <f>O521+O524</f>
        <v>0</v>
      </c>
      <c r="P520" s="217"/>
      <c r="Q520" s="217">
        <f t="shared" ref="Q520:U520" si="404">Q521+Q524</f>
        <v>0</v>
      </c>
      <c r="R520" s="217">
        <f t="shared" si="404"/>
        <v>0</v>
      </c>
      <c r="S520" s="217">
        <f t="shared" si="404"/>
        <v>1320000</v>
      </c>
      <c r="T520" s="217">
        <f t="shared" si="404"/>
        <v>0</v>
      </c>
      <c r="U520" s="217">
        <f t="shared" si="404"/>
        <v>0</v>
      </c>
      <c r="V520" s="214"/>
      <c r="W520" s="281"/>
    </row>
    <row r="521" spans="1:23" x14ac:dyDescent="0.25">
      <c r="A521" s="234"/>
      <c r="B521" s="219" t="s">
        <v>574</v>
      </c>
      <c r="C521" s="219" t="s">
        <v>360</v>
      </c>
      <c r="D521" s="218"/>
      <c r="E521" s="220" t="s">
        <v>361</v>
      </c>
      <c r="F521" s="277"/>
      <c r="G521" s="220"/>
      <c r="H521" s="220"/>
      <c r="I521" s="221">
        <f>SUM(I522:I523)</f>
        <v>870000</v>
      </c>
      <c r="J521" s="221">
        <f>SUM(J522:J523)</f>
        <v>0</v>
      </c>
      <c r="K521" s="221">
        <f>SUM(K522:K523)</f>
        <v>870000</v>
      </c>
      <c r="L521" s="221"/>
      <c r="M521" s="221"/>
      <c r="N521" s="221">
        <f>SUM(N522:N523)</f>
        <v>870000</v>
      </c>
      <c r="O521" s="221">
        <f>SUM(O522:O523)</f>
        <v>0</v>
      </c>
      <c r="P521" s="221"/>
      <c r="Q521" s="221">
        <f t="shared" ref="Q521:U521" si="405">SUM(Q522:Q523)</f>
        <v>0</v>
      </c>
      <c r="R521" s="221">
        <f t="shared" si="405"/>
        <v>0</v>
      </c>
      <c r="S521" s="221">
        <f t="shared" si="405"/>
        <v>870000</v>
      </c>
      <c r="T521" s="221">
        <f t="shared" si="405"/>
        <v>0</v>
      </c>
      <c r="U521" s="221">
        <f t="shared" si="405"/>
        <v>0</v>
      </c>
      <c r="V521" s="218"/>
      <c r="W521" s="281"/>
    </row>
    <row r="522" spans="1:23" x14ac:dyDescent="0.25">
      <c r="A522" s="233"/>
      <c r="B522" s="223" t="s">
        <v>574</v>
      </c>
      <c r="C522" s="223" t="s">
        <v>366</v>
      </c>
      <c r="D522" s="222"/>
      <c r="E522" s="258" t="s">
        <v>367</v>
      </c>
      <c r="F522" s="258"/>
      <c r="G522" s="224"/>
      <c r="H522" s="224"/>
      <c r="I522" s="225">
        <v>50000</v>
      </c>
      <c r="J522" s="225">
        <v>0</v>
      </c>
      <c r="K522" s="225">
        <f>[1]Nov!I557</f>
        <v>50000</v>
      </c>
      <c r="L522" s="225"/>
      <c r="M522" s="225"/>
      <c r="N522" s="225">
        <f t="shared" ref="N522:N523" si="406">J522+K522</f>
        <v>50000</v>
      </c>
      <c r="O522" s="225">
        <f t="shared" ref="O522:O523" si="407">I522-N522</f>
        <v>0</v>
      </c>
      <c r="P522" s="225"/>
      <c r="Q522" s="225"/>
      <c r="R522" s="225"/>
      <c r="S522" s="225">
        <f>N522</f>
        <v>50000</v>
      </c>
      <c r="T522" s="225"/>
      <c r="U522" s="225"/>
      <c r="V522" s="222"/>
      <c r="W522" s="282"/>
    </row>
    <row r="523" spans="1:23" ht="30" x14ac:dyDescent="0.25">
      <c r="A523" s="233"/>
      <c r="B523" s="223" t="s">
        <v>574</v>
      </c>
      <c r="C523" s="223" t="s">
        <v>368</v>
      </c>
      <c r="D523" s="222"/>
      <c r="E523" s="258" t="s">
        <v>369</v>
      </c>
      <c r="F523" s="258"/>
      <c r="G523" s="224"/>
      <c r="H523" s="224"/>
      <c r="I523" s="225">
        <v>820000</v>
      </c>
      <c r="J523" s="225">
        <v>0</v>
      </c>
      <c r="K523" s="225">
        <f>[1]Nov!I558</f>
        <v>820000</v>
      </c>
      <c r="L523" s="225"/>
      <c r="M523" s="225"/>
      <c r="N523" s="225">
        <f t="shared" si="406"/>
        <v>820000</v>
      </c>
      <c r="O523" s="225">
        <f t="shared" si="407"/>
        <v>0</v>
      </c>
      <c r="P523" s="225"/>
      <c r="Q523" s="225"/>
      <c r="R523" s="225"/>
      <c r="S523" s="225">
        <f>N523</f>
        <v>820000</v>
      </c>
      <c r="T523" s="225"/>
      <c r="U523" s="225"/>
      <c r="V523" s="222"/>
      <c r="W523" s="283"/>
    </row>
    <row r="524" spans="1:23" x14ac:dyDescent="0.25">
      <c r="A524" s="234"/>
      <c r="B524" s="219" t="s">
        <v>574</v>
      </c>
      <c r="C524" s="219" t="s">
        <v>370</v>
      </c>
      <c r="D524" s="218"/>
      <c r="E524" s="277" t="s">
        <v>81</v>
      </c>
      <c r="F524" s="277"/>
      <c r="G524" s="220"/>
      <c r="H524" s="220"/>
      <c r="I524" s="221">
        <f>SUM(I525)</f>
        <v>450000</v>
      </c>
      <c r="J524" s="221">
        <f>SUM(J525)</f>
        <v>0</v>
      </c>
      <c r="K524" s="221">
        <f>SUM(K525)</f>
        <v>450000</v>
      </c>
      <c r="L524" s="221"/>
      <c r="M524" s="221"/>
      <c r="N524" s="221">
        <f>SUM(N525)</f>
        <v>450000</v>
      </c>
      <c r="O524" s="221">
        <f>SUM(O525)</f>
        <v>0</v>
      </c>
      <c r="P524" s="221"/>
      <c r="Q524" s="221">
        <f t="shared" ref="Q524:U524" si="408">SUM(Q525)</f>
        <v>0</v>
      </c>
      <c r="R524" s="221">
        <f t="shared" si="408"/>
        <v>0</v>
      </c>
      <c r="S524" s="221">
        <f t="shared" si="408"/>
        <v>450000</v>
      </c>
      <c r="T524" s="221">
        <f t="shared" si="408"/>
        <v>0</v>
      </c>
      <c r="U524" s="221">
        <f t="shared" si="408"/>
        <v>0</v>
      </c>
      <c r="V524" s="218"/>
      <c r="W524" s="283"/>
    </row>
    <row r="525" spans="1:23" ht="30" x14ac:dyDescent="0.25">
      <c r="A525" s="233"/>
      <c r="B525" s="223" t="s">
        <v>574</v>
      </c>
      <c r="C525" s="223" t="s">
        <v>476</v>
      </c>
      <c r="D525" s="222"/>
      <c r="E525" s="258" t="s">
        <v>477</v>
      </c>
      <c r="F525" s="258"/>
      <c r="G525" s="224"/>
      <c r="H525" s="224"/>
      <c r="I525" s="225">
        <v>450000</v>
      </c>
      <c r="J525" s="225">
        <v>0</v>
      </c>
      <c r="K525" s="225">
        <f>[1]Nov!I560</f>
        <v>450000</v>
      </c>
      <c r="L525" s="225"/>
      <c r="M525" s="225"/>
      <c r="N525" s="225">
        <f t="shared" ref="N525" si="409">J525+K525</f>
        <v>450000</v>
      </c>
      <c r="O525" s="225">
        <f t="shared" ref="O525" si="410">I525-N525</f>
        <v>0</v>
      </c>
      <c r="P525" s="225"/>
      <c r="Q525" s="225"/>
      <c r="R525" s="225"/>
      <c r="S525" s="225">
        <f>N525</f>
        <v>450000</v>
      </c>
      <c r="T525" s="225"/>
      <c r="U525" s="225"/>
      <c r="V525" s="222"/>
      <c r="W525" s="283"/>
    </row>
    <row r="526" spans="1:23" ht="45" x14ac:dyDescent="0.25">
      <c r="A526" s="233"/>
      <c r="B526" s="223"/>
      <c r="C526" s="223"/>
      <c r="D526" s="222"/>
      <c r="E526" s="224"/>
      <c r="F526" s="236" t="s">
        <v>724</v>
      </c>
      <c r="G526" s="224"/>
      <c r="H526" s="224"/>
      <c r="I526" s="225"/>
      <c r="J526" s="225"/>
      <c r="K526" s="225"/>
      <c r="L526" s="225"/>
      <c r="M526" s="225"/>
      <c r="N526" s="225"/>
      <c r="O526" s="225"/>
      <c r="P526" s="225"/>
      <c r="Q526" s="225"/>
      <c r="R526" s="225"/>
      <c r="S526" s="225"/>
      <c r="T526" s="225"/>
      <c r="U526" s="225"/>
      <c r="V526" s="222"/>
      <c r="W526" s="281"/>
    </row>
    <row r="527" spans="1:23" x14ac:dyDescent="0.25">
      <c r="A527" s="232"/>
      <c r="B527" s="215" t="s">
        <v>576</v>
      </c>
      <c r="C527" s="232"/>
      <c r="D527" s="214"/>
      <c r="E527" s="216" t="s">
        <v>577</v>
      </c>
      <c r="F527" s="236"/>
      <c r="G527" s="216"/>
      <c r="H527" s="216"/>
      <c r="I527" s="217">
        <f>I528</f>
        <v>950000</v>
      </c>
      <c r="J527" s="217">
        <f>J528</f>
        <v>0</v>
      </c>
      <c r="K527" s="217">
        <f>K528</f>
        <v>950000</v>
      </c>
      <c r="L527" s="217"/>
      <c r="M527" s="217"/>
      <c r="N527" s="217">
        <f>N528</f>
        <v>950000</v>
      </c>
      <c r="O527" s="217">
        <f>O528</f>
        <v>0</v>
      </c>
      <c r="P527" s="217"/>
      <c r="Q527" s="217">
        <f t="shared" ref="Q527:U527" si="411">Q528</f>
        <v>0</v>
      </c>
      <c r="R527" s="217">
        <f t="shared" si="411"/>
        <v>0</v>
      </c>
      <c r="S527" s="217">
        <f t="shared" si="411"/>
        <v>0</v>
      </c>
      <c r="T527" s="217">
        <f t="shared" si="411"/>
        <v>0</v>
      </c>
      <c r="U527" s="217">
        <f t="shared" si="411"/>
        <v>950000</v>
      </c>
      <c r="V527" s="214"/>
      <c r="W527" s="281"/>
    </row>
    <row r="528" spans="1:23" x14ac:dyDescent="0.25">
      <c r="A528" s="232"/>
      <c r="B528" s="215" t="s">
        <v>576</v>
      </c>
      <c r="C528" s="215" t="s">
        <v>359</v>
      </c>
      <c r="D528" s="214"/>
      <c r="E528" s="216" t="s">
        <v>67</v>
      </c>
      <c r="F528" s="236"/>
      <c r="G528" s="216"/>
      <c r="H528" s="216"/>
      <c r="I528" s="217">
        <f>I529+I531</f>
        <v>950000</v>
      </c>
      <c r="J528" s="217">
        <f>J529+J531</f>
        <v>0</v>
      </c>
      <c r="K528" s="217">
        <f>K529+K531</f>
        <v>950000</v>
      </c>
      <c r="L528" s="217"/>
      <c r="M528" s="217"/>
      <c r="N528" s="217">
        <f>N529+N531</f>
        <v>950000</v>
      </c>
      <c r="O528" s="217">
        <f>O529+O531</f>
        <v>0</v>
      </c>
      <c r="P528" s="217"/>
      <c r="Q528" s="217">
        <f t="shared" ref="Q528:U528" si="412">Q529+Q531</f>
        <v>0</v>
      </c>
      <c r="R528" s="217">
        <f t="shared" si="412"/>
        <v>0</v>
      </c>
      <c r="S528" s="217">
        <f t="shared" si="412"/>
        <v>0</v>
      </c>
      <c r="T528" s="217">
        <f t="shared" si="412"/>
        <v>0</v>
      </c>
      <c r="U528" s="217">
        <f t="shared" si="412"/>
        <v>950000</v>
      </c>
      <c r="V528" s="214"/>
      <c r="W528" s="282"/>
    </row>
    <row r="529" spans="1:24" x14ac:dyDescent="0.25">
      <c r="A529" s="234"/>
      <c r="B529" s="219" t="s">
        <v>576</v>
      </c>
      <c r="C529" s="219" t="s">
        <v>360</v>
      </c>
      <c r="D529" s="218"/>
      <c r="E529" s="220" t="s">
        <v>361</v>
      </c>
      <c r="F529" s="277"/>
      <c r="G529" s="220"/>
      <c r="H529" s="220"/>
      <c r="I529" s="221">
        <f>SUM(I530)</f>
        <v>500000</v>
      </c>
      <c r="J529" s="221">
        <f>SUM(J530)</f>
        <v>0</v>
      </c>
      <c r="K529" s="221">
        <f>SUM(K530)</f>
        <v>500000</v>
      </c>
      <c r="L529" s="221"/>
      <c r="M529" s="221"/>
      <c r="N529" s="221">
        <f>SUM(N530)</f>
        <v>500000</v>
      </c>
      <c r="O529" s="221">
        <f>SUM(O530)</f>
        <v>0</v>
      </c>
      <c r="P529" s="221"/>
      <c r="Q529" s="221">
        <f t="shared" ref="Q529:U529" si="413">SUM(Q530)</f>
        <v>0</v>
      </c>
      <c r="R529" s="221">
        <f t="shared" si="413"/>
        <v>0</v>
      </c>
      <c r="S529" s="221">
        <f t="shared" si="413"/>
        <v>0</v>
      </c>
      <c r="T529" s="221">
        <f t="shared" si="413"/>
        <v>0</v>
      </c>
      <c r="U529" s="221">
        <f t="shared" si="413"/>
        <v>500000</v>
      </c>
      <c r="V529" s="218"/>
      <c r="W529" s="283"/>
    </row>
    <row r="530" spans="1:24" x14ac:dyDescent="0.25">
      <c r="A530" s="233"/>
      <c r="B530" s="223" t="s">
        <v>576</v>
      </c>
      <c r="C530" s="223" t="s">
        <v>368</v>
      </c>
      <c r="D530" s="222"/>
      <c r="E530" s="224" t="s">
        <v>369</v>
      </c>
      <c r="F530" s="258"/>
      <c r="G530" s="224"/>
      <c r="H530" s="224"/>
      <c r="I530" s="225">
        <v>500000</v>
      </c>
      <c r="J530" s="225">
        <v>0</v>
      </c>
      <c r="K530" s="225">
        <f>[1]Nov!I565</f>
        <v>500000</v>
      </c>
      <c r="L530" s="225"/>
      <c r="M530" s="225"/>
      <c r="N530" s="225">
        <f t="shared" ref="N530" si="414">J530+K530</f>
        <v>500000</v>
      </c>
      <c r="O530" s="225">
        <f t="shared" ref="O530" si="415">I530-N530</f>
        <v>0</v>
      </c>
      <c r="P530" s="225"/>
      <c r="Q530" s="225"/>
      <c r="R530" s="225"/>
      <c r="S530" s="225"/>
      <c r="T530" s="225"/>
      <c r="U530" s="225">
        <f>N530</f>
        <v>500000</v>
      </c>
      <c r="V530" s="222"/>
      <c r="W530" s="283"/>
    </row>
    <row r="531" spans="1:24" x14ac:dyDescent="0.25">
      <c r="A531" s="234"/>
      <c r="B531" s="219" t="s">
        <v>576</v>
      </c>
      <c r="C531" s="219" t="s">
        <v>370</v>
      </c>
      <c r="D531" s="218"/>
      <c r="E531" s="220" t="s">
        <v>81</v>
      </c>
      <c r="F531" s="277"/>
      <c r="G531" s="220"/>
      <c r="H531" s="220"/>
      <c r="I531" s="221">
        <f>SUM(I532)</f>
        <v>450000</v>
      </c>
      <c r="J531" s="221">
        <f>SUM(J532)</f>
        <v>0</v>
      </c>
      <c r="K531" s="221">
        <f>SUM(K532)</f>
        <v>450000</v>
      </c>
      <c r="L531" s="221"/>
      <c r="M531" s="221"/>
      <c r="N531" s="221">
        <f>SUM(N532)</f>
        <v>450000</v>
      </c>
      <c r="O531" s="221">
        <f>SUM(O532)</f>
        <v>0</v>
      </c>
      <c r="P531" s="221"/>
      <c r="Q531" s="221">
        <f t="shared" ref="Q531:U531" si="416">SUM(Q532)</f>
        <v>0</v>
      </c>
      <c r="R531" s="221">
        <f t="shared" si="416"/>
        <v>0</v>
      </c>
      <c r="S531" s="221">
        <f t="shared" si="416"/>
        <v>0</v>
      </c>
      <c r="T531" s="221">
        <f t="shared" si="416"/>
        <v>0</v>
      </c>
      <c r="U531" s="221">
        <f t="shared" si="416"/>
        <v>450000</v>
      </c>
      <c r="V531" s="218"/>
      <c r="W531" s="282"/>
    </row>
    <row r="532" spans="1:24" ht="30" x14ac:dyDescent="0.25">
      <c r="A532" s="243"/>
      <c r="B532" s="244" t="s">
        <v>576</v>
      </c>
      <c r="C532" s="244" t="s">
        <v>476</v>
      </c>
      <c r="D532" s="245"/>
      <c r="E532" s="295" t="s">
        <v>477</v>
      </c>
      <c r="F532" s="295"/>
      <c r="G532" s="246"/>
      <c r="H532" s="246"/>
      <c r="I532" s="247">
        <v>450000</v>
      </c>
      <c r="J532" s="247">
        <v>0</v>
      </c>
      <c r="K532" s="225">
        <f>[1]Nov!I567</f>
        <v>450000</v>
      </c>
      <c r="L532" s="247"/>
      <c r="M532" s="247"/>
      <c r="N532" s="247">
        <f t="shared" ref="N532" si="417">J532+K532</f>
        <v>450000</v>
      </c>
      <c r="O532" s="247">
        <f t="shared" ref="O532" si="418">I532-N532</f>
        <v>0</v>
      </c>
      <c r="P532" s="247"/>
      <c r="Q532" s="247"/>
      <c r="R532" s="247"/>
      <c r="S532" s="247"/>
      <c r="T532" s="247"/>
      <c r="U532" s="247">
        <f>N532</f>
        <v>450000</v>
      </c>
      <c r="V532" s="245"/>
      <c r="W532" s="283"/>
    </row>
    <row r="533" spans="1:24" x14ac:dyDescent="0.25">
      <c r="A533" s="233"/>
      <c r="B533" s="223"/>
      <c r="C533" s="223"/>
      <c r="D533" s="222"/>
      <c r="E533" s="258"/>
      <c r="F533" s="258"/>
      <c r="G533" s="224"/>
      <c r="H533" s="224"/>
      <c r="I533" s="225"/>
      <c r="J533" s="225"/>
      <c r="K533" s="225"/>
      <c r="L533" s="225"/>
      <c r="M533" s="225"/>
      <c r="N533" s="225"/>
      <c r="O533" s="225"/>
      <c r="P533" s="225"/>
      <c r="Q533" s="225"/>
      <c r="R533" s="225"/>
      <c r="S533" s="225"/>
      <c r="T533" s="225"/>
      <c r="U533" s="225"/>
      <c r="V533" s="222"/>
      <c r="W533" s="283"/>
    </row>
    <row r="534" spans="1:24" ht="45" x14ac:dyDescent="0.25">
      <c r="A534" s="249"/>
      <c r="B534" s="250" t="s">
        <v>578</v>
      </c>
      <c r="C534" s="249"/>
      <c r="D534" s="251"/>
      <c r="E534" s="255" t="s">
        <v>579</v>
      </c>
      <c r="F534" s="255" t="s">
        <v>725</v>
      </c>
      <c r="G534" s="252"/>
      <c r="H534" s="252"/>
      <c r="I534" s="253">
        <f>I535</f>
        <v>3233020</v>
      </c>
      <c r="J534" s="253">
        <f>J535</f>
        <v>787500</v>
      </c>
      <c r="K534" s="253">
        <f>K535</f>
        <v>2441250</v>
      </c>
      <c r="L534" s="253"/>
      <c r="M534" s="253"/>
      <c r="N534" s="253">
        <f>N535</f>
        <v>3228750</v>
      </c>
      <c r="O534" s="253">
        <f>O535</f>
        <v>4270</v>
      </c>
      <c r="P534" s="253"/>
      <c r="Q534" s="253">
        <f t="shared" ref="Q534:U534" si="419">Q535</f>
        <v>0</v>
      </c>
      <c r="R534" s="253">
        <f t="shared" si="419"/>
        <v>945250</v>
      </c>
      <c r="S534" s="253">
        <f t="shared" si="419"/>
        <v>2250000</v>
      </c>
      <c r="T534" s="253">
        <f t="shared" si="419"/>
        <v>33500</v>
      </c>
      <c r="U534" s="253">
        <f t="shared" si="419"/>
        <v>0</v>
      </c>
      <c r="V534" s="251"/>
      <c r="W534" s="282"/>
      <c r="X534" s="9"/>
    </row>
    <row r="535" spans="1:24" x14ac:dyDescent="0.25">
      <c r="A535" s="232"/>
      <c r="B535" s="215" t="s">
        <v>578</v>
      </c>
      <c r="C535" s="215" t="s">
        <v>359</v>
      </c>
      <c r="D535" s="214"/>
      <c r="E535" s="216" t="s">
        <v>67</v>
      </c>
      <c r="F535" s="236"/>
      <c r="G535" s="216"/>
      <c r="H535" s="216"/>
      <c r="I535" s="217">
        <f>I536+I540</f>
        <v>3233020</v>
      </c>
      <c r="J535" s="217">
        <f>J536+J540</f>
        <v>787500</v>
      </c>
      <c r="K535" s="217">
        <f>K536+K540</f>
        <v>2441250</v>
      </c>
      <c r="L535" s="217"/>
      <c r="M535" s="217"/>
      <c r="N535" s="217">
        <f>N536+N540</f>
        <v>3228750</v>
      </c>
      <c r="O535" s="217">
        <f>O536+O540</f>
        <v>4270</v>
      </c>
      <c r="P535" s="217"/>
      <c r="Q535" s="217">
        <f t="shared" ref="Q535:U535" si="420">Q536+Q540</f>
        <v>0</v>
      </c>
      <c r="R535" s="217">
        <f t="shared" si="420"/>
        <v>945250</v>
      </c>
      <c r="S535" s="217">
        <f t="shared" si="420"/>
        <v>2250000</v>
      </c>
      <c r="T535" s="217">
        <f t="shared" si="420"/>
        <v>33500</v>
      </c>
      <c r="U535" s="217">
        <f t="shared" si="420"/>
        <v>0</v>
      </c>
      <c r="V535" s="214"/>
      <c r="W535" s="283"/>
    </row>
    <row r="536" spans="1:24" x14ac:dyDescent="0.25">
      <c r="A536" s="234"/>
      <c r="B536" s="219" t="s">
        <v>578</v>
      </c>
      <c r="C536" s="219" t="s">
        <v>360</v>
      </c>
      <c r="D536" s="218"/>
      <c r="E536" s="220" t="s">
        <v>361</v>
      </c>
      <c r="F536" s="277"/>
      <c r="G536" s="220"/>
      <c r="H536" s="220"/>
      <c r="I536" s="221">
        <f>SUM(I537:I539)</f>
        <v>233020</v>
      </c>
      <c r="J536" s="221">
        <f>SUM(J537:J539)</f>
        <v>37500</v>
      </c>
      <c r="K536" s="221">
        <f>SUM(K537:K539)</f>
        <v>191250</v>
      </c>
      <c r="L536" s="221"/>
      <c r="M536" s="221"/>
      <c r="N536" s="221">
        <f>SUM(N537:N539)</f>
        <v>228750</v>
      </c>
      <c r="O536" s="221">
        <f>SUM(O537:O539)</f>
        <v>4270</v>
      </c>
      <c r="P536" s="221"/>
      <c r="Q536" s="221">
        <f t="shared" ref="Q536:U536" si="421">SUM(Q537:Q539)</f>
        <v>0</v>
      </c>
      <c r="R536" s="221">
        <f t="shared" si="421"/>
        <v>195250</v>
      </c>
      <c r="S536" s="221">
        <f t="shared" si="421"/>
        <v>0</v>
      </c>
      <c r="T536" s="221">
        <f t="shared" si="421"/>
        <v>33500</v>
      </c>
      <c r="U536" s="221">
        <f t="shared" si="421"/>
        <v>0</v>
      </c>
      <c r="V536" s="218"/>
      <c r="W536" s="283"/>
    </row>
    <row r="537" spans="1:24" x14ac:dyDescent="0.25">
      <c r="A537" s="233"/>
      <c r="B537" s="223" t="s">
        <v>578</v>
      </c>
      <c r="C537" s="223" t="s">
        <v>362</v>
      </c>
      <c r="D537" s="222"/>
      <c r="E537" s="224" t="s">
        <v>363</v>
      </c>
      <c r="F537" s="258"/>
      <c r="G537" s="224"/>
      <c r="H537" s="224"/>
      <c r="I537" s="225">
        <v>49420</v>
      </c>
      <c r="J537" s="225">
        <v>0</v>
      </c>
      <c r="K537" s="225">
        <f>[1]Nov!I572</f>
        <v>49000</v>
      </c>
      <c r="L537" s="225"/>
      <c r="M537" s="225"/>
      <c r="N537" s="225">
        <f t="shared" ref="N537:N539" si="422">J537+K537</f>
        <v>49000</v>
      </c>
      <c r="O537" s="225">
        <f t="shared" ref="O537:O539" si="423">I537-N537</f>
        <v>420</v>
      </c>
      <c r="P537" s="225"/>
      <c r="Q537" s="225"/>
      <c r="R537" s="225">
        <f>N537</f>
        <v>49000</v>
      </c>
      <c r="S537" s="225"/>
      <c r="T537" s="225"/>
      <c r="U537" s="225"/>
      <c r="V537" s="222"/>
      <c r="W537" s="283"/>
    </row>
    <row r="538" spans="1:24" x14ac:dyDescent="0.25">
      <c r="A538" s="233"/>
      <c r="B538" s="223" t="s">
        <v>578</v>
      </c>
      <c r="C538" s="223" t="s">
        <v>366</v>
      </c>
      <c r="D538" s="222"/>
      <c r="E538" s="224" t="s">
        <v>367</v>
      </c>
      <c r="F538" s="258"/>
      <c r="G538" s="224"/>
      <c r="H538" s="224"/>
      <c r="I538" s="225">
        <v>33600</v>
      </c>
      <c r="J538" s="225">
        <v>0</v>
      </c>
      <c r="K538" s="225">
        <f>[1]Nov!I573</f>
        <v>33500</v>
      </c>
      <c r="L538" s="225"/>
      <c r="M538" s="225"/>
      <c r="N538" s="225">
        <f t="shared" si="422"/>
        <v>33500</v>
      </c>
      <c r="O538" s="225">
        <f t="shared" si="423"/>
        <v>100</v>
      </c>
      <c r="P538" s="225"/>
      <c r="Q538" s="225"/>
      <c r="R538" s="225"/>
      <c r="S538" s="225"/>
      <c r="T538" s="225">
        <f>N538</f>
        <v>33500</v>
      </c>
      <c r="U538" s="225"/>
      <c r="V538" s="222"/>
      <c r="W538" s="283"/>
    </row>
    <row r="539" spans="1:24" x14ac:dyDescent="0.25">
      <c r="A539" s="233"/>
      <c r="B539" s="223" t="s">
        <v>578</v>
      </c>
      <c r="C539" s="223" t="s">
        <v>368</v>
      </c>
      <c r="D539" s="222"/>
      <c r="E539" s="224" t="s">
        <v>369</v>
      </c>
      <c r="F539" s="258"/>
      <c r="G539" s="224"/>
      <c r="H539" s="224"/>
      <c r="I539" s="225">
        <v>150000</v>
      </c>
      <c r="J539" s="225">
        <v>37500</v>
      </c>
      <c r="K539" s="225">
        <f>[1]Nov!I574</f>
        <v>108750</v>
      </c>
      <c r="L539" s="225"/>
      <c r="M539" s="225"/>
      <c r="N539" s="225">
        <f t="shared" si="422"/>
        <v>146250</v>
      </c>
      <c r="O539" s="225">
        <f t="shared" si="423"/>
        <v>3750</v>
      </c>
      <c r="P539" s="225"/>
      <c r="Q539" s="225"/>
      <c r="R539" s="225">
        <f>N539</f>
        <v>146250</v>
      </c>
      <c r="S539" s="225"/>
      <c r="T539" s="225"/>
      <c r="U539" s="225"/>
      <c r="V539" s="222"/>
      <c r="W539" s="283"/>
    </row>
    <row r="540" spans="1:24" x14ac:dyDescent="0.25">
      <c r="A540" s="234"/>
      <c r="B540" s="219" t="s">
        <v>578</v>
      </c>
      <c r="C540" s="219" t="s">
        <v>370</v>
      </c>
      <c r="D540" s="218"/>
      <c r="E540" s="220" t="s">
        <v>81</v>
      </c>
      <c r="F540" s="277"/>
      <c r="G540" s="220"/>
      <c r="H540" s="220"/>
      <c r="I540" s="221">
        <f>SUM(I541)</f>
        <v>3000000</v>
      </c>
      <c r="J540" s="221">
        <f>SUM(J541)</f>
        <v>750000</v>
      </c>
      <c r="K540" s="221">
        <f>SUM(K541)</f>
        <v>2250000</v>
      </c>
      <c r="L540" s="221"/>
      <c r="M540" s="221"/>
      <c r="N540" s="221">
        <f>SUM(N541)</f>
        <v>3000000</v>
      </c>
      <c r="O540" s="221">
        <f>SUM(O541)</f>
        <v>0</v>
      </c>
      <c r="P540" s="221"/>
      <c r="Q540" s="221">
        <f t="shared" ref="Q540:U540" si="424">SUM(Q541)</f>
        <v>0</v>
      </c>
      <c r="R540" s="221">
        <f t="shared" si="424"/>
        <v>750000</v>
      </c>
      <c r="S540" s="221">
        <f t="shared" si="424"/>
        <v>2250000</v>
      </c>
      <c r="T540" s="221">
        <f t="shared" si="424"/>
        <v>0</v>
      </c>
      <c r="U540" s="221">
        <f t="shared" si="424"/>
        <v>0</v>
      </c>
      <c r="V540" s="218"/>
      <c r="W540" s="283"/>
    </row>
    <row r="541" spans="1:24" x14ac:dyDescent="0.25">
      <c r="A541" s="233"/>
      <c r="B541" s="223" t="s">
        <v>578</v>
      </c>
      <c r="C541" s="223" t="s">
        <v>398</v>
      </c>
      <c r="D541" s="222"/>
      <c r="E541" s="224" t="s">
        <v>399</v>
      </c>
      <c r="F541" s="258"/>
      <c r="G541" s="224"/>
      <c r="H541" s="224"/>
      <c r="I541" s="225">
        <v>3000000</v>
      </c>
      <c r="J541" s="225">
        <v>750000</v>
      </c>
      <c r="K541" s="225">
        <f>[1]Nov!I576</f>
        <v>2250000</v>
      </c>
      <c r="L541" s="225"/>
      <c r="M541" s="225"/>
      <c r="N541" s="225">
        <f t="shared" ref="N541" si="425">J541+K541</f>
        <v>3000000</v>
      </c>
      <c r="O541" s="225">
        <f t="shared" ref="O541" si="426">I541-N541</f>
        <v>0</v>
      </c>
      <c r="P541" s="225"/>
      <c r="Q541" s="225"/>
      <c r="R541" s="225">
        <f>N541-S541</f>
        <v>750000</v>
      </c>
      <c r="S541" s="225">
        <v>2250000</v>
      </c>
      <c r="T541" s="225"/>
      <c r="U541" s="225"/>
      <c r="V541" s="222"/>
      <c r="W541" s="283"/>
    </row>
    <row r="542" spans="1:24" x14ac:dyDescent="0.25">
      <c r="A542" s="233"/>
      <c r="B542" s="223"/>
      <c r="C542" s="223"/>
      <c r="D542" s="222"/>
      <c r="E542" s="224"/>
      <c r="F542" s="258"/>
      <c r="G542" s="224"/>
      <c r="H542" s="224"/>
      <c r="I542" s="225"/>
      <c r="J542" s="225"/>
      <c r="K542" s="225"/>
      <c r="L542" s="225"/>
      <c r="M542" s="225"/>
      <c r="N542" s="225"/>
      <c r="O542" s="225"/>
      <c r="P542" s="225"/>
      <c r="Q542" s="225"/>
      <c r="R542" s="225"/>
      <c r="S542" s="225"/>
      <c r="T542" s="225"/>
      <c r="U542" s="225"/>
      <c r="V542" s="222"/>
      <c r="W542" s="281"/>
    </row>
    <row r="543" spans="1:24" ht="45" x14ac:dyDescent="0.25">
      <c r="A543" s="232"/>
      <c r="B543" s="242" t="s">
        <v>580</v>
      </c>
      <c r="C543" s="232"/>
      <c r="D543" s="214"/>
      <c r="E543" s="236" t="s">
        <v>581</v>
      </c>
      <c r="F543" s="236" t="s">
        <v>726</v>
      </c>
      <c r="G543" s="236"/>
      <c r="H543" s="236"/>
      <c r="I543" s="237">
        <f>I544</f>
        <v>2317000</v>
      </c>
      <c r="J543" s="237">
        <f>J544</f>
        <v>2317000</v>
      </c>
      <c r="K543" s="237">
        <f>K544</f>
        <v>0</v>
      </c>
      <c r="L543" s="237"/>
      <c r="M543" s="237"/>
      <c r="N543" s="237">
        <f>N544</f>
        <v>2317000</v>
      </c>
      <c r="O543" s="237">
        <f>O544</f>
        <v>0</v>
      </c>
      <c r="P543" s="237"/>
      <c r="Q543" s="237">
        <f t="shared" ref="Q543:U543" si="427">Q544</f>
        <v>0</v>
      </c>
      <c r="R543" s="237">
        <f t="shared" si="427"/>
        <v>0</v>
      </c>
      <c r="S543" s="237">
        <f t="shared" si="427"/>
        <v>0</v>
      </c>
      <c r="T543" s="237">
        <f t="shared" si="427"/>
        <v>2317000</v>
      </c>
      <c r="U543" s="237">
        <f t="shared" si="427"/>
        <v>0</v>
      </c>
      <c r="V543" s="214"/>
      <c r="W543" s="281"/>
    </row>
    <row r="544" spans="1:24" x14ac:dyDescent="0.25">
      <c r="A544" s="232"/>
      <c r="B544" s="215" t="s">
        <v>580</v>
      </c>
      <c r="C544" s="215" t="s">
        <v>359</v>
      </c>
      <c r="D544" s="214"/>
      <c r="E544" s="216" t="s">
        <v>67</v>
      </c>
      <c r="F544" s="236"/>
      <c r="G544" s="216"/>
      <c r="H544" s="216"/>
      <c r="I544" s="217">
        <f>I545+I548</f>
        <v>2317000</v>
      </c>
      <c r="J544" s="217">
        <f>J545+J548</f>
        <v>2317000</v>
      </c>
      <c r="K544" s="217">
        <f>K545+K548</f>
        <v>0</v>
      </c>
      <c r="L544" s="217"/>
      <c r="M544" s="217"/>
      <c r="N544" s="217">
        <f>N545+N548</f>
        <v>2317000</v>
      </c>
      <c r="O544" s="217">
        <f>O545+O548</f>
        <v>0</v>
      </c>
      <c r="P544" s="217"/>
      <c r="Q544" s="217">
        <f t="shared" ref="Q544:U544" si="428">Q545+Q548</f>
        <v>0</v>
      </c>
      <c r="R544" s="217">
        <f t="shared" si="428"/>
        <v>0</v>
      </c>
      <c r="S544" s="217">
        <f t="shared" si="428"/>
        <v>0</v>
      </c>
      <c r="T544" s="217">
        <f t="shared" si="428"/>
        <v>2317000</v>
      </c>
      <c r="U544" s="217">
        <f t="shared" si="428"/>
        <v>0</v>
      </c>
      <c r="V544" s="214"/>
      <c r="W544" s="282"/>
    </row>
    <row r="545" spans="1:23" x14ac:dyDescent="0.25">
      <c r="A545" s="234"/>
      <c r="B545" s="219" t="s">
        <v>580</v>
      </c>
      <c r="C545" s="219" t="s">
        <v>360</v>
      </c>
      <c r="D545" s="218"/>
      <c r="E545" s="220" t="s">
        <v>361</v>
      </c>
      <c r="F545" s="277"/>
      <c r="G545" s="220"/>
      <c r="H545" s="220"/>
      <c r="I545" s="221">
        <f>SUM(I546:I547)</f>
        <v>817000</v>
      </c>
      <c r="J545" s="221">
        <f>SUM(J546:J547)</f>
        <v>817000</v>
      </c>
      <c r="K545" s="221">
        <f>SUM(K546:K547)</f>
        <v>0</v>
      </c>
      <c r="L545" s="221"/>
      <c r="M545" s="221"/>
      <c r="N545" s="221">
        <f>SUM(N546:N547)</f>
        <v>817000</v>
      </c>
      <c r="O545" s="221">
        <f>SUM(O546:O547)</f>
        <v>0</v>
      </c>
      <c r="P545" s="221"/>
      <c r="Q545" s="221">
        <f t="shared" ref="Q545:U545" si="429">SUM(Q546:Q547)</f>
        <v>0</v>
      </c>
      <c r="R545" s="221">
        <f t="shared" si="429"/>
        <v>0</v>
      </c>
      <c r="S545" s="221">
        <f t="shared" si="429"/>
        <v>0</v>
      </c>
      <c r="T545" s="221">
        <f t="shared" si="429"/>
        <v>817000</v>
      </c>
      <c r="U545" s="221">
        <f t="shared" si="429"/>
        <v>0</v>
      </c>
      <c r="V545" s="218"/>
      <c r="W545" s="283"/>
    </row>
    <row r="546" spans="1:23" x14ac:dyDescent="0.25">
      <c r="A546" s="233"/>
      <c r="B546" s="223" t="s">
        <v>580</v>
      </c>
      <c r="C546" s="223" t="s">
        <v>366</v>
      </c>
      <c r="D546" s="222"/>
      <c r="E546" s="224" t="s">
        <v>367</v>
      </c>
      <c r="F546" s="258"/>
      <c r="G546" s="224"/>
      <c r="H546" s="224"/>
      <c r="I546" s="225">
        <v>17000</v>
      </c>
      <c r="J546" s="225">
        <v>17000</v>
      </c>
      <c r="K546" s="225">
        <f>[1]Nov!I581</f>
        <v>0</v>
      </c>
      <c r="L546" s="225"/>
      <c r="M546" s="225"/>
      <c r="N546" s="225">
        <f t="shared" ref="N546:N547" si="430">J546+K546</f>
        <v>17000</v>
      </c>
      <c r="O546" s="225">
        <f t="shared" ref="O546:O547" si="431">I546-N546</f>
        <v>0</v>
      </c>
      <c r="P546" s="225"/>
      <c r="Q546" s="225"/>
      <c r="R546" s="225"/>
      <c r="S546" s="225"/>
      <c r="T546" s="225">
        <f>N546</f>
        <v>17000</v>
      </c>
      <c r="U546" s="225"/>
      <c r="V546" s="222"/>
      <c r="W546" s="283"/>
    </row>
    <row r="547" spans="1:23" x14ac:dyDescent="0.25">
      <c r="A547" s="233"/>
      <c r="B547" s="223" t="s">
        <v>580</v>
      </c>
      <c r="C547" s="223" t="s">
        <v>368</v>
      </c>
      <c r="D547" s="222"/>
      <c r="E547" s="224" t="s">
        <v>369</v>
      </c>
      <c r="F547" s="258"/>
      <c r="G547" s="224"/>
      <c r="H547" s="224"/>
      <c r="I547" s="225">
        <v>800000</v>
      </c>
      <c r="J547" s="225">
        <v>800000</v>
      </c>
      <c r="K547" s="225">
        <f>[1]Nov!I582</f>
        <v>0</v>
      </c>
      <c r="L547" s="225"/>
      <c r="M547" s="225"/>
      <c r="N547" s="225">
        <f t="shared" si="430"/>
        <v>800000</v>
      </c>
      <c r="O547" s="225">
        <f t="shared" si="431"/>
        <v>0</v>
      </c>
      <c r="P547" s="225"/>
      <c r="Q547" s="225"/>
      <c r="R547" s="225"/>
      <c r="S547" s="225"/>
      <c r="T547" s="225">
        <f>N547</f>
        <v>800000</v>
      </c>
      <c r="U547" s="225"/>
      <c r="V547" s="222"/>
      <c r="W547" s="283"/>
    </row>
    <row r="548" spans="1:23" x14ac:dyDescent="0.25">
      <c r="A548" s="234"/>
      <c r="B548" s="219" t="s">
        <v>580</v>
      </c>
      <c r="C548" s="219" t="s">
        <v>370</v>
      </c>
      <c r="D548" s="218"/>
      <c r="E548" s="220" t="s">
        <v>81</v>
      </c>
      <c r="F548" s="277"/>
      <c r="G548" s="220"/>
      <c r="H548" s="220"/>
      <c r="I548" s="221">
        <f>SUM(I549)</f>
        <v>1500000</v>
      </c>
      <c r="J548" s="221">
        <f>SUM(J549)</f>
        <v>1500000</v>
      </c>
      <c r="K548" s="221">
        <f>SUM(K549)</f>
        <v>0</v>
      </c>
      <c r="L548" s="221"/>
      <c r="M548" s="221"/>
      <c r="N548" s="221">
        <f>SUM(N549)</f>
        <v>1500000</v>
      </c>
      <c r="O548" s="221">
        <f>SUM(O549)</f>
        <v>0</v>
      </c>
      <c r="P548" s="221"/>
      <c r="Q548" s="221">
        <f t="shared" ref="Q548:U548" si="432">SUM(Q549)</f>
        <v>0</v>
      </c>
      <c r="R548" s="221">
        <f t="shared" si="432"/>
        <v>0</v>
      </c>
      <c r="S548" s="221">
        <f t="shared" si="432"/>
        <v>0</v>
      </c>
      <c r="T548" s="221">
        <f t="shared" si="432"/>
        <v>1500000</v>
      </c>
      <c r="U548" s="221">
        <f t="shared" si="432"/>
        <v>0</v>
      </c>
      <c r="V548" s="218"/>
      <c r="W548" s="283"/>
    </row>
    <row r="549" spans="1:23" x14ac:dyDescent="0.25">
      <c r="A549" s="233"/>
      <c r="B549" s="223" t="s">
        <v>580</v>
      </c>
      <c r="C549" s="223" t="s">
        <v>398</v>
      </c>
      <c r="D549" s="222"/>
      <c r="E549" s="224" t="s">
        <v>399</v>
      </c>
      <c r="F549" s="258"/>
      <c r="G549" s="224"/>
      <c r="H549" s="224"/>
      <c r="I549" s="225">
        <v>1500000</v>
      </c>
      <c r="J549" s="225">
        <v>1500000</v>
      </c>
      <c r="K549" s="225">
        <f>[1]Nov!I584</f>
        <v>0</v>
      </c>
      <c r="L549" s="225"/>
      <c r="M549" s="225"/>
      <c r="N549" s="225">
        <f t="shared" ref="N549" si="433">J549+K549</f>
        <v>1500000</v>
      </c>
      <c r="O549" s="225">
        <f t="shared" ref="O549" si="434">I549-N549</f>
        <v>0</v>
      </c>
      <c r="P549" s="225"/>
      <c r="Q549" s="225"/>
      <c r="R549" s="225"/>
      <c r="S549" s="225"/>
      <c r="T549" s="225">
        <f>N549</f>
        <v>1500000</v>
      </c>
      <c r="U549" s="225"/>
      <c r="V549" s="222"/>
      <c r="W549" s="281"/>
    </row>
    <row r="550" spans="1:23" x14ac:dyDescent="0.25">
      <c r="A550" s="233"/>
      <c r="B550" s="223"/>
      <c r="C550" s="223"/>
      <c r="D550" s="222"/>
      <c r="E550" s="224"/>
      <c r="F550" s="258"/>
      <c r="G550" s="224"/>
      <c r="H550" s="224"/>
      <c r="I550" s="225"/>
      <c r="J550" s="225"/>
      <c r="K550" s="225"/>
      <c r="L550" s="225"/>
      <c r="M550" s="225"/>
      <c r="N550" s="225"/>
      <c r="O550" s="225"/>
      <c r="P550" s="225"/>
      <c r="Q550" s="225"/>
      <c r="R550" s="225"/>
      <c r="S550" s="225"/>
      <c r="T550" s="225"/>
      <c r="U550" s="225"/>
      <c r="V550" s="222"/>
      <c r="W550" s="281"/>
    </row>
    <row r="551" spans="1:23" ht="60" x14ac:dyDescent="0.25">
      <c r="A551" s="232"/>
      <c r="B551" s="215" t="s">
        <v>582</v>
      </c>
      <c r="C551" s="232"/>
      <c r="D551" s="214"/>
      <c r="E551" s="236" t="s">
        <v>583</v>
      </c>
      <c r="F551" s="236" t="s">
        <v>727</v>
      </c>
      <c r="G551" s="216"/>
      <c r="H551" s="216"/>
      <c r="I551" s="217">
        <f t="shared" ref="I551:U552" si="435">I552</f>
        <v>2500000</v>
      </c>
      <c r="J551" s="217">
        <f t="shared" si="435"/>
        <v>0</v>
      </c>
      <c r="K551" s="217">
        <f t="shared" si="435"/>
        <v>1620000</v>
      </c>
      <c r="L551" s="217"/>
      <c r="M551" s="217"/>
      <c r="N551" s="217">
        <f t="shared" si="435"/>
        <v>1620000</v>
      </c>
      <c r="O551" s="217">
        <f t="shared" si="435"/>
        <v>880000</v>
      </c>
      <c r="P551" s="217"/>
      <c r="Q551" s="217">
        <f t="shared" si="435"/>
        <v>0</v>
      </c>
      <c r="R551" s="217">
        <f t="shared" si="435"/>
        <v>0</v>
      </c>
      <c r="S551" s="217">
        <f t="shared" si="435"/>
        <v>0</v>
      </c>
      <c r="T551" s="217">
        <f t="shared" si="435"/>
        <v>0</v>
      </c>
      <c r="U551" s="217">
        <f t="shared" si="435"/>
        <v>1620000</v>
      </c>
      <c r="V551" s="214"/>
      <c r="W551" s="283"/>
    </row>
    <row r="552" spans="1:23" x14ac:dyDescent="0.25">
      <c r="A552" s="232"/>
      <c r="B552" s="215" t="s">
        <v>582</v>
      </c>
      <c r="C552" s="215" t="s">
        <v>359</v>
      </c>
      <c r="D552" s="214"/>
      <c r="E552" s="216" t="s">
        <v>67</v>
      </c>
      <c r="F552" s="236"/>
      <c r="G552" s="216"/>
      <c r="H552" s="216"/>
      <c r="I552" s="217">
        <f t="shared" si="435"/>
        <v>2500000</v>
      </c>
      <c r="J552" s="217">
        <f t="shared" si="435"/>
        <v>0</v>
      </c>
      <c r="K552" s="217">
        <f t="shared" si="435"/>
        <v>1620000</v>
      </c>
      <c r="L552" s="217"/>
      <c r="M552" s="217"/>
      <c r="N552" s="217">
        <f t="shared" si="435"/>
        <v>1620000</v>
      </c>
      <c r="O552" s="217">
        <f t="shared" si="435"/>
        <v>880000</v>
      </c>
      <c r="P552" s="217"/>
      <c r="Q552" s="217">
        <f t="shared" si="435"/>
        <v>0</v>
      </c>
      <c r="R552" s="217">
        <f t="shared" si="435"/>
        <v>0</v>
      </c>
      <c r="S552" s="217">
        <f t="shared" si="435"/>
        <v>0</v>
      </c>
      <c r="T552" s="217">
        <f t="shared" si="435"/>
        <v>0</v>
      </c>
      <c r="U552" s="217">
        <f t="shared" si="435"/>
        <v>1620000</v>
      </c>
      <c r="V552" s="214"/>
      <c r="W552" s="283"/>
    </row>
    <row r="553" spans="1:23" x14ac:dyDescent="0.25">
      <c r="A553" s="234"/>
      <c r="B553" s="219" t="s">
        <v>582</v>
      </c>
      <c r="C553" s="219" t="s">
        <v>360</v>
      </c>
      <c r="D553" s="218"/>
      <c r="E553" s="220" t="s">
        <v>361</v>
      </c>
      <c r="F553" s="277"/>
      <c r="G553" s="220"/>
      <c r="H553" s="220"/>
      <c r="I553" s="221">
        <f>SUM(I554:I555)</f>
        <v>2500000</v>
      </c>
      <c r="J553" s="221">
        <f>SUM(J554:J555)</f>
        <v>0</v>
      </c>
      <c r="K553" s="221">
        <f>SUM(K554:K555)</f>
        <v>1620000</v>
      </c>
      <c r="L553" s="221"/>
      <c r="M553" s="221"/>
      <c r="N553" s="221">
        <f>SUM(N554:N555)</f>
        <v>1620000</v>
      </c>
      <c r="O553" s="221">
        <f>SUM(O554:O555)</f>
        <v>880000</v>
      </c>
      <c r="P553" s="221"/>
      <c r="Q553" s="221">
        <f t="shared" ref="Q553:U553" si="436">SUM(Q554:Q555)</f>
        <v>0</v>
      </c>
      <c r="R553" s="221">
        <f t="shared" si="436"/>
        <v>0</v>
      </c>
      <c r="S553" s="221">
        <f t="shared" si="436"/>
        <v>0</v>
      </c>
      <c r="T553" s="221">
        <f t="shared" si="436"/>
        <v>0</v>
      </c>
      <c r="U553" s="221">
        <f t="shared" si="436"/>
        <v>1620000</v>
      </c>
      <c r="V553" s="218"/>
      <c r="W553" s="282"/>
    </row>
    <row r="554" spans="1:23" x14ac:dyDescent="0.25">
      <c r="A554" s="233"/>
      <c r="B554" s="223" t="s">
        <v>582</v>
      </c>
      <c r="C554" s="223" t="s">
        <v>366</v>
      </c>
      <c r="D554" s="222"/>
      <c r="E554" s="224" t="s">
        <v>367</v>
      </c>
      <c r="F554" s="258"/>
      <c r="G554" s="224"/>
      <c r="H554" s="224"/>
      <c r="I554" s="225">
        <v>625000</v>
      </c>
      <c r="J554" s="225">
        <v>0</v>
      </c>
      <c r="K554" s="225">
        <f>[1]Nov!I591</f>
        <v>0</v>
      </c>
      <c r="L554" s="225"/>
      <c r="M554" s="225"/>
      <c r="N554" s="225">
        <f t="shared" ref="N554:N555" si="437">J554+K554</f>
        <v>0</v>
      </c>
      <c r="O554" s="225">
        <f t="shared" ref="O554:O555" si="438">I554-N554</f>
        <v>625000</v>
      </c>
      <c r="P554" s="225"/>
      <c r="Q554" s="225"/>
      <c r="R554" s="225"/>
      <c r="S554" s="225"/>
      <c r="T554" s="225"/>
      <c r="U554" s="225">
        <f>N554</f>
        <v>0</v>
      </c>
      <c r="V554" s="222"/>
      <c r="W554" s="283">
        <v>625000</v>
      </c>
    </row>
    <row r="555" spans="1:23" ht="30" x14ac:dyDescent="0.25">
      <c r="A555" s="233"/>
      <c r="B555" s="223" t="s">
        <v>582</v>
      </c>
      <c r="C555" s="223" t="s">
        <v>368</v>
      </c>
      <c r="D555" s="222"/>
      <c r="E555" s="258" t="s">
        <v>369</v>
      </c>
      <c r="F555" s="258"/>
      <c r="G555" s="224"/>
      <c r="H555" s="224"/>
      <c r="I555" s="225">
        <v>1875000</v>
      </c>
      <c r="J555" s="225">
        <v>0</v>
      </c>
      <c r="K555" s="225">
        <f>[1]Nov!I592</f>
        <v>1620000</v>
      </c>
      <c r="L555" s="225"/>
      <c r="M555" s="225"/>
      <c r="N555" s="225">
        <f t="shared" si="437"/>
        <v>1620000</v>
      </c>
      <c r="O555" s="225">
        <f t="shared" si="438"/>
        <v>255000</v>
      </c>
      <c r="P555" s="225"/>
      <c r="Q555" s="225"/>
      <c r="R555" s="225"/>
      <c r="S555" s="225"/>
      <c r="T555" s="225"/>
      <c r="U555" s="225">
        <f>N555</f>
        <v>1620000</v>
      </c>
      <c r="V555" s="222"/>
      <c r="W555" s="282">
        <v>255000</v>
      </c>
    </row>
    <row r="556" spans="1:23" x14ac:dyDescent="0.25">
      <c r="A556" s="233"/>
      <c r="B556" s="223"/>
      <c r="C556" s="223"/>
      <c r="D556" s="222"/>
      <c r="E556" s="224"/>
      <c r="F556" s="258"/>
      <c r="G556" s="224"/>
      <c r="H556" s="224"/>
      <c r="I556" s="225"/>
      <c r="J556" s="225"/>
      <c r="K556" s="225"/>
      <c r="L556" s="225"/>
      <c r="M556" s="225"/>
      <c r="N556" s="225"/>
      <c r="O556" s="225"/>
      <c r="P556" s="225"/>
      <c r="Q556" s="225"/>
      <c r="R556" s="225"/>
      <c r="S556" s="225"/>
      <c r="T556" s="225"/>
      <c r="U556" s="225"/>
      <c r="V556" s="222"/>
      <c r="W556" s="283"/>
    </row>
    <row r="557" spans="1:23" ht="45" x14ac:dyDescent="0.25">
      <c r="A557" s="232"/>
      <c r="B557" s="215" t="s">
        <v>584</v>
      </c>
      <c r="C557" s="232"/>
      <c r="D557" s="214"/>
      <c r="E557" s="216" t="s">
        <v>585</v>
      </c>
      <c r="F557" s="236" t="s">
        <v>728</v>
      </c>
      <c r="G557" s="216"/>
      <c r="H557" s="216"/>
      <c r="I557" s="217">
        <f>I558</f>
        <v>1300000</v>
      </c>
      <c r="J557" s="217">
        <f>J558</f>
        <v>0</v>
      </c>
      <c r="K557" s="217">
        <f>K558</f>
        <v>1300000</v>
      </c>
      <c r="L557" s="217"/>
      <c r="M557" s="217"/>
      <c r="N557" s="217">
        <f>N558</f>
        <v>1300000</v>
      </c>
      <c r="O557" s="217">
        <f>O558</f>
        <v>0</v>
      </c>
      <c r="P557" s="217"/>
      <c r="Q557" s="217">
        <f t="shared" ref="Q557:U557" si="439">Q558</f>
        <v>0</v>
      </c>
      <c r="R557" s="217">
        <f t="shared" si="439"/>
        <v>0</v>
      </c>
      <c r="S557" s="217">
        <f t="shared" si="439"/>
        <v>1300000</v>
      </c>
      <c r="T557" s="217">
        <f t="shared" si="439"/>
        <v>0</v>
      </c>
      <c r="U557" s="217">
        <f t="shared" si="439"/>
        <v>0</v>
      </c>
      <c r="V557" s="214"/>
      <c r="W557" s="283"/>
    </row>
    <row r="558" spans="1:23" x14ac:dyDescent="0.25">
      <c r="A558" s="232"/>
      <c r="B558" s="215" t="s">
        <v>584</v>
      </c>
      <c r="C558" s="215" t="s">
        <v>359</v>
      </c>
      <c r="D558" s="214"/>
      <c r="E558" s="216" t="s">
        <v>67</v>
      </c>
      <c r="F558" s="236"/>
      <c r="G558" s="216"/>
      <c r="H558" s="216"/>
      <c r="I558" s="217">
        <f>I559+I562</f>
        <v>1300000</v>
      </c>
      <c r="J558" s="217">
        <f>J559+J562</f>
        <v>0</v>
      </c>
      <c r="K558" s="217">
        <f>K559+K562</f>
        <v>1300000</v>
      </c>
      <c r="L558" s="217"/>
      <c r="M558" s="217"/>
      <c r="N558" s="217">
        <f>N559+N562</f>
        <v>1300000</v>
      </c>
      <c r="O558" s="217">
        <f>O559+O562</f>
        <v>0</v>
      </c>
      <c r="P558" s="217"/>
      <c r="Q558" s="217">
        <f t="shared" ref="Q558:U558" si="440">Q559+Q562</f>
        <v>0</v>
      </c>
      <c r="R558" s="217">
        <f t="shared" si="440"/>
        <v>0</v>
      </c>
      <c r="S558" s="217">
        <f t="shared" si="440"/>
        <v>1300000</v>
      </c>
      <c r="T558" s="217">
        <f t="shared" si="440"/>
        <v>0</v>
      </c>
      <c r="U558" s="217">
        <f t="shared" si="440"/>
        <v>0</v>
      </c>
      <c r="V558" s="214"/>
      <c r="W558" s="281"/>
    </row>
    <row r="559" spans="1:23" x14ac:dyDescent="0.25">
      <c r="A559" s="234"/>
      <c r="B559" s="219" t="s">
        <v>584</v>
      </c>
      <c r="C559" s="219" t="s">
        <v>360</v>
      </c>
      <c r="D559" s="218"/>
      <c r="E559" s="220" t="s">
        <v>361</v>
      </c>
      <c r="F559" s="277"/>
      <c r="G559" s="220"/>
      <c r="H559" s="220"/>
      <c r="I559" s="221">
        <f>SUM(I560:I561)</f>
        <v>850000</v>
      </c>
      <c r="J559" s="221">
        <f>SUM(J560:J561)</f>
        <v>0</v>
      </c>
      <c r="K559" s="221">
        <f>SUM(K560:K561)</f>
        <v>850000</v>
      </c>
      <c r="L559" s="221"/>
      <c r="M559" s="221"/>
      <c r="N559" s="221">
        <f>SUM(N560:N561)</f>
        <v>850000</v>
      </c>
      <c r="O559" s="221">
        <f>SUM(O560:O561)</f>
        <v>0</v>
      </c>
      <c r="P559" s="221"/>
      <c r="Q559" s="221">
        <f t="shared" ref="Q559:U559" si="441">SUM(Q560:Q561)</f>
        <v>0</v>
      </c>
      <c r="R559" s="221">
        <f t="shared" si="441"/>
        <v>0</v>
      </c>
      <c r="S559" s="221">
        <f t="shared" si="441"/>
        <v>850000</v>
      </c>
      <c r="T559" s="221">
        <f t="shared" si="441"/>
        <v>0</v>
      </c>
      <c r="U559" s="221">
        <f t="shared" si="441"/>
        <v>0</v>
      </c>
      <c r="V559" s="218"/>
      <c r="W559" s="281"/>
    </row>
    <row r="560" spans="1:23" x14ac:dyDescent="0.25">
      <c r="A560" s="233"/>
      <c r="B560" s="223" t="s">
        <v>584</v>
      </c>
      <c r="C560" s="223" t="s">
        <v>366</v>
      </c>
      <c r="D560" s="222"/>
      <c r="E560" s="224" t="s">
        <v>367</v>
      </c>
      <c r="F560" s="258"/>
      <c r="G560" s="224"/>
      <c r="H560" s="224"/>
      <c r="I560" s="225">
        <v>50000</v>
      </c>
      <c r="J560" s="225">
        <v>0</v>
      </c>
      <c r="K560" s="225">
        <f>[1]Nov!I597</f>
        <v>50000</v>
      </c>
      <c r="L560" s="225"/>
      <c r="M560" s="225"/>
      <c r="N560" s="225">
        <f t="shared" ref="N560:N561" si="442">J560+K560</f>
        <v>50000</v>
      </c>
      <c r="O560" s="225">
        <f t="shared" ref="O560:O561" si="443">I560-N560</f>
        <v>0</v>
      </c>
      <c r="P560" s="225"/>
      <c r="Q560" s="225"/>
      <c r="R560" s="225"/>
      <c r="S560" s="225">
        <f>N560</f>
        <v>50000</v>
      </c>
      <c r="T560" s="225"/>
      <c r="U560" s="225"/>
      <c r="V560" s="222"/>
      <c r="W560" s="282"/>
    </row>
    <row r="561" spans="1:23" x14ac:dyDescent="0.25">
      <c r="A561" s="233"/>
      <c r="B561" s="223" t="s">
        <v>584</v>
      </c>
      <c r="C561" s="223" t="s">
        <v>368</v>
      </c>
      <c r="D561" s="222"/>
      <c r="E561" s="224" t="s">
        <v>369</v>
      </c>
      <c r="F561" s="258"/>
      <c r="G561" s="224"/>
      <c r="H561" s="224"/>
      <c r="I561" s="225">
        <v>800000</v>
      </c>
      <c r="J561" s="225">
        <v>0</v>
      </c>
      <c r="K561" s="225">
        <f>[1]Nov!I598</f>
        <v>800000</v>
      </c>
      <c r="L561" s="225"/>
      <c r="M561" s="225"/>
      <c r="N561" s="225">
        <f t="shared" si="442"/>
        <v>800000</v>
      </c>
      <c r="O561" s="225">
        <f t="shared" si="443"/>
        <v>0</v>
      </c>
      <c r="P561" s="225"/>
      <c r="Q561" s="225"/>
      <c r="R561" s="225"/>
      <c r="S561" s="225">
        <f>N561</f>
        <v>800000</v>
      </c>
      <c r="T561" s="225"/>
      <c r="U561" s="225"/>
      <c r="V561" s="222"/>
      <c r="W561" s="283"/>
    </row>
    <row r="562" spans="1:23" x14ac:dyDescent="0.25">
      <c r="A562" s="234"/>
      <c r="B562" s="219" t="s">
        <v>584</v>
      </c>
      <c r="C562" s="219" t="s">
        <v>370</v>
      </c>
      <c r="D562" s="218"/>
      <c r="E562" s="220" t="s">
        <v>81</v>
      </c>
      <c r="F562" s="277"/>
      <c r="G562" s="220"/>
      <c r="H562" s="220"/>
      <c r="I562" s="221">
        <f>SUM(I563)</f>
        <v>450000</v>
      </c>
      <c r="J562" s="221">
        <f>SUM(J563)</f>
        <v>0</v>
      </c>
      <c r="K562" s="221">
        <f>SUM(K563)</f>
        <v>450000</v>
      </c>
      <c r="L562" s="221"/>
      <c r="M562" s="221"/>
      <c r="N562" s="221">
        <f>SUM(N563)</f>
        <v>450000</v>
      </c>
      <c r="O562" s="221">
        <f>SUM(O563)</f>
        <v>0</v>
      </c>
      <c r="P562" s="221"/>
      <c r="Q562" s="221">
        <f t="shared" ref="Q562:U562" si="444">SUM(Q563)</f>
        <v>0</v>
      </c>
      <c r="R562" s="221">
        <f t="shared" si="444"/>
        <v>0</v>
      </c>
      <c r="S562" s="221">
        <f t="shared" si="444"/>
        <v>450000</v>
      </c>
      <c r="T562" s="221">
        <f t="shared" si="444"/>
        <v>0</v>
      </c>
      <c r="U562" s="221">
        <f t="shared" si="444"/>
        <v>0</v>
      </c>
      <c r="V562" s="218"/>
      <c r="W562" s="283"/>
    </row>
    <row r="563" spans="1:23" ht="30" x14ac:dyDescent="0.25">
      <c r="A563" s="233"/>
      <c r="B563" s="223" t="s">
        <v>584</v>
      </c>
      <c r="C563" s="223" t="s">
        <v>476</v>
      </c>
      <c r="D563" s="222"/>
      <c r="E563" s="258" t="s">
        <v>477</v>
      </c>
      <c r="F563" s="258"/>
      <c r="G563" s="224"/>
      <c r="H563" s="224"/>
      <c r="I563" s="225">
        <v>450000</v>
      </c>
      <c r="J563" s="225">
        <v>0</v>
      </c>
      <c r="K563" s="225">
        <f>[1]Nov!I600</f>
        <v>450000</v>
      </c>
      <c r="L563" s="225"/>
      <c r="M563" s="225"/>
      <c r="N563" s="225">
        <f t="shared" ref="N563" si="445">J563+K563</f>
        <v>450000</v>
      </c>
      <c r="O563" s="225">
        <f t="shared" ref="O563" si="446">I563-N563</f>
        <v>0</v>
      </c>
      <c r="P563" s="225"/>
      <c r="Q563" s="225"/>
      <c r="R563" s="225"/>
      <c r="S563" s="225">
        <f>N563</f>
        <v>450000</v>
      </c>
      <c r="T563" s="225"/>
      <c r="U563" s="225"/>
      <c r="V563" s="222"/>
      <c r="W563" s="283"/>
    </row>
    <row r="564" spans="1:23" x14ac:dyDescent="0.25">
      <c r="A564" s="233"/>
      <c r="B564" s="223"/>
      <c r="C564" s="223"/>
      <c r="D564" s="222"/>
      <c r="E564" s="224"/>
      <c r="F564" s="258"/>
      <c r="G564" s="224"/>
      <c r="H564" s="224"/>
      <c r="I564" s="225"/>
      <c r="J564" s="225"/>
      <c r="K564" s="225"/>
      <c r="L564" s="225"/>
      <c r="M564" s="225"/>
      <c r="N564" s="225"/>
      <c r="O564" s="225"/>
      <c r="P564" s="225"/>
      <c r="Q564" s="225"/>
      <c r="R564" s="225"/>
      <c r="S564" s="225"/>
      <c r="T564" s="225"/>
      <c r="U564" s="225"/>
      <c r="V564" s="222"/>
      <c r="W564" s="283"/>
    </row>
    <row r="565" spans="1:23" ht="45" x14ac:dyDescent="0.25">
      <c r="A565" s="232"/>
      <c r="B565" s="215" t="s">
        <v>586</v>
      </c>
      <c r="C565" s="232"/>
      <c r="D565" s="214"/>
      <c r="E565" s="216" t="s">
        <v>587</v>
      </c>
      <c r="F565" s="236" t="s">
        <v>729</v>
      </c>
      <c r="G565" s="216"/>
      <c r="H565" s="216"/>
      <c r="I565" s="217">
        <f t="shared" ref="I565:U566" si="447">I566</f>
        <v>1472500</v>
      </c>
      <c r="J565" s="217">
        <f t="shared" si="447"/>
        <v>295000</v>
      </c>
      <c r="K565" s="217">
        <f t="shared" si="447"/>
        <v>1148250</v>
      </c>
      <c r="L565" s="217"/>
      <c r="M565" s="217"/>
      <c r="N565" s="217">
        <f t="shared" si="447"/>
        <v>1443250</v>
      </c>
      <c r="O565" s="217">
        <f t="shared" si="447"/>
        <v>29250</v>
      </c>
      <c r="P565" s="217"/>
      <c r="Q565" s="217">
        <f t="shared" si="447"/>
        <v>0</v>
      </c>
      <c r="R565" s="217">
        <f t="shared" si="447"/>
        <v>1043250</v>
      </c>
      <c r="S565" s="217">
        <f t="shared" si="447"/>
        <v>400000</v>
      </c>
      <c r="T565" s="217">
        <f t="shared" si="447"/>
        <v>0</v>
      </c>
      <c r="U565" s="217">
        <f t="shared" si="447"/>
        <v>0</v>
      </c>
      <c r="V565" s="214"/>
      <c r="W565" s="282"/>
    </row>
    <row r="566" spans="1:23" x14ac:dyDescent="0.25">
      <c r="A566" s="232"/>
      <c r="B566" s="215" t="s">
        <v>586</v>
      </c>
      <c r="C566" s="215" t="s">
        <v>359</v>
      </c>
      <c r="D566" s="214"/>
      <c r="E566" s="216" t="s">
        <v>67</v>
      </c>
      <c r="F566" s="236"/>
      <c r="G566" s="216"/>
      <c r="H566" s="216"/>
      <c r="I566" s="217">
        <f t="shared" si="447"/>
        <v>1472500</v>
      </c>
      <c r="J566" s="217">
        <f t="shared" si="447"/>
        <v>295000</v>
      </c>
      <c r="K566" s="217">
        <f t="shared" si="447"/>
        <v>1148250</v>
      </c>
      <c r="L566" s="217"/>
      <c r="M566" s="217"/>
      <c r="N566" s="217">
        <f t="shared" si="447"/>
        <v>1443250</v>
      </c>
      <c r="O566" s="217">
        <f t="shared" si="447"/>
        <v>29250</v>
      </c>
      <c r="P566" s="217"/>
      <c r="Q566" s="217">
        <f t="shared" si="447"/>
        <v>0</v>
      </c>
      <c r="R566" s="217">
        <f t="shared" si="447"/>
        <v>1043250</v>
      </c>
      <c r="S566" s="217">
        <f t="shared" si="447"/>
        <v>400000</v>
      </c>
      <c r="T566" s="217">
        <f t="shared" si="447"/>
        <v>0</v>
      </c>
      <c r="U566" s="217">
        <f t="shared" si="447"/>
        <v>0</v>
      </c>
      <c r="V566" s="214"/>
      <c r="W566" s="283"/>
    </row>
    <row r="567" spans="1:23" x14ac:dyDescent="0.25">
      <c r="A567" s="234"/>
      <c r="B567" s="219" t="s">
        <v>586</v>
      </c>
      <c r="C567" s="219" t="s">
        <v>360</v>
      </c>
      <c r="D567" s="218"/>
      <c r="E567" s="220" t="s">
        <v>361</v>
      </c>
      <c r="F567" s="277"/>
      <c r="G567" s="220"/>
      <c r="H567" s="220"/>
      <c r="I567" s="221">
        <f>SUM(I568:I570)</f>
        <v>1472500</v>
      </c>
      <c r="J567" s="221">
        <f>SUM(J568:J570)</f>
        <v>295000</v>
      </c>
      <c r="K567" s="221">
        <f>SUM(K568:K570)</f>
        <v>1148250</v>
      </c>
      <c r="L567" s="221"/>
      <c r="M567" s="221"/>
      <c r="N567" s="221">
        <f>SUM(N568:N570)</f>
        <v>1443250</v>
      </c>
      <c r="O567" s="221">
        <f>SUM(O568:O570)</f>
        <v>29250</v>
      </c>
      <c r="P567" s="221"/>
      <c r="Q567" s="221">
        <f t="shared" ref="Q567:U567" si="448">SUM(Q568:Q570)</f>
        <v>0</v>
      </c>
      <c r="R567" s="221">
        <f t="shared" si="448"/>
        <v>1043250</v>
      </c>
      <c r="S567" s="221">
        <f t="shared" si="448"/>
        <v>400000</v>
      </c>
      <c r="T567" s="221">
        <f t="shared" si="448"/>
        <v>0</v>
      </c>
      <c r="U567" s="221">
        <f t="shared" si="448"/>
        <v>0</v>
      </c>
      <c r="V567" s="218"/>
      <c r="W567" s="283"/>
    </row>
    <row r="568" spans="1:23" x14ac:dyDescent="0.25">
      <c r="A568" s="233"/>
      <c r="B568" s="223" t="s">
        <v>586</v>
      </c>
      <c r="C568" s="223" t="s">
        <v>362</v>
      </c>
      <c r="D568" s="222"/>
      <c r="E568" s="224" t="s">
        <v>363</v>
      </c>
      <c r="F568" s="258"/>
      <c r="G568" s="224"/>
      <c r="H568" s="224"/>
      <c r="I568" s="225">
        <v>200000</v>
      </c>
      <c r="J568" s="225">
        <v>0</v>
      </c>
      <c r="K568" s="225">
        <f>[1]Nov!I605</f>
        <v>200000</v>
      </c>
      <c r="L568" s="225"/>
      <c r="M568" s="225"/>
      <c r="N568" s="225">
        <f t="shared" ref="N568:N570" si="449">J568+K568</f>
        <v>200000</v>
      </c>
      <c r="O568" s="225">
        <f t="shared" ref="O568:O570" si="450">I568-N568</f>
        <v>0</v>
      </c>
      <c r="P568" s="225"/>
      <c r="Q568" s="225"/>
      <c r="R568" s="225"/>
      <c r="S568" s="225">
        <f>N568</f>
        <v>200000</v>
      </c>
      <c r="T568" s="225"/>
      <c r="U568" s="225"/>
      <c r="V568" s="222"/>
      <c r="W568" s="283"/>
    </row>
    <row r="569" spans="1:23" x14ac:dyDescent="0.25">
      <c r="A569" s="233"/>
      <c r="B569" s="223" t="s">
        <v>586</v>
      </c>
      <c r="C569" s="223" t="s">
        <v>366</v>
      </c>
      <c r="D569" s="222"/>
      <c r="E569" s="224" t="s">
        <v>367</v>
      </c>
      <c r="F569" s="258"/>
      <c r="G569" s="224"/>
      <c r="H569" s="224"/>
      <c r="I569" s="225">
        <v>200000</v>
      </c>
      <c r="J569" s="225">
        <v>100000</v>
      </c>
      <c r="K569" s="225">
        <f>[1]Nov!I606</f>
        <v>100000</v>
      </c>
      <c r="L569" s="225"/>
      <c r="M569" s="225"/>
      <c r="N569" s="225">
        <f t="shared" si="449"/>
        <v>200000</v>
      </c>
      <c r="O569" s="225">
        <f t="shared" si="450"/>
        <v>0</v>
      </c>
      <c r="P569" s="225"/>
      <c r="Q569" s="225"/>
      <c r="R569" s="225"/>
      <c r="S569" s="225">
        <f>N569</f>
        <v>200000</v>
      </c>
      <c r="T569" s="225"/>
      <c r="U569" s="225"/>
      <c r="V569" s="222"/>
      <c r="W569" s="281"/>
    </row>
    <row r="570" spans="1:23" x14ac:dyDescent="0.25">
      <c r="A570" s="243"/>
      <c r="B570" s="244" t="s">
        <v>586</v>
      </c>
      <c r="C570" s="244" t="s">
        <v>368</v>
      </c>
      <c r="D570" s="245"/>
      <c r="E570" s="246" t="s">
        <v>369</v>
      </c>
      <c r="F570" s="295"/>
      <c r="G570" s="246"/>
      <c r="H570" s="246"/>
      <c r="I570" s="247">
        <v>1072500</v>
      </c>
      <c r="J570" s="247">
        <v>195000</v>
      </c>
      <c r="K570" s="225">
        <f>[1]Nov!I607</f>
        <v>848250</v>
      </c>
      <c r="L570" s="247"/>
      <c r="M570" s="247"/>
      <c r="N570" s="247">
        <f t="shared" si="449"/>
        <v>1043250</v>
      </c>
      <c r="O570" s="247">
        <f t="shared" si="450"/>
        <v>29250</v>
      </c>
      <c r="P570" s="247"/>
      <c r="Q570" s="247"/>
      <c r="R570" s="247">
        <f>N570</f>
        <v>1043250</v>
      </c>
      <c r="S570" s="247"/>
      <c r="T570" s="247"/>
      <c r="U570" s="247"/>
      <c r="V570" s="245"/>
      <c r="W570" s="281"/>
    </row>
    <row r="571" spans="1:23" x14ac:dyDescent="0.25">
      <c r="A571" s="233"/>
      <c r="B571" s="223"/>
      <c r="C571" s="223"/>
      <c r="D571" s="222"/>
      <c r="E571" s="224"/>
      <c r="F571" s="295"/>
      <c r="G571" s="224"/>
      <c r="H571" s="224"/>
      <c r="I571" s="225"/>
      <c r="J571" s="225"/>
      <c r="K571" s="225"/>
      <c r="L571" s="225"/>
      <c r="M571" s="225"/>
      <c r="N571" s="225"/>
      <c r="O571" s="225"/>
      <c r="P571" s="225"/>
      <c r="Q571" s="225"/>
      <c r="R571" s="225"/>
      <c r="S571" s="225"/>
      <c r="T571" s="225"/>
      <c r="U571" s="225"/>
      <c r="V571" s="222"/>
      <c r="W571" s="281"/>
    </row>
    <row r="572" spans="1:23" ht="30" x14ac:dyDescent="0.25">
      <c r="A572" s="249"/>
      <c r="B572" s="250" t="s">
        <v>588</v>
      </c>
      <c r="C572" s="249"/>
      <c r="D572" s="251"/>
      <c r="E572" s="252" t="s">
        <v>589</v>
      </c>
      <c r="F572" s="321" t="s">
        <v>730</v>
      </c>
      <c r="G572" s="252"/>
      <c r="H572" s="252"/>
      <c r="I572" s="253">
        <f t="shared" ref="I572:U573" si="451">I573</f>
        <v>2180000</v>
      </c>
      <c r="J572" s="253">
        <f t="shared" si="451"/>
        <v>330000</v>
      </c>
      <c r="K572" s="253">
        <f t="shared" si="451"/>
        <v>1532000</v>
      </c>
      <c r="L572" s="253"/>
      <c r="M572" s="253"/>
      <c r="N572" s="253">
        <f t="shared" si="451"/>
        <v>1862000</v>
      </c>
      <c r="O572" s="253">
        <f t="shared" si="451"/>
        <v>318000</v>
      </c>
      <c r="P572" s="253"/>
      <c r="Q572" s="253">
        <f t="shared" si="451"/>
        <v>0</v>
      </c>
      <c r="R572" s="253">
        <f t="shared" si="451"/>
        <v>0</v>
      </c>
      <c r="S572" s="253">
        <f t="shared" si="451"/>
        <v>1862000</v>
      </c>
      <c r="T572" s="253">
        <f t="shared" si="451"/>
        <v>0</v>
      </c>
      <c r="U572" s="253">
        <f t="shared" si="451"/>
        <v>0</v>
      </c>
      <c r="V572" s="251"/>
      <c r="W572" s="282"/>
    </row>
    <row r="573" spans="1:23" x14ac:dyDescent="0.25">
      <c r="A573" s="232"/>
      <c r="B573" s="215" t="s">
        <v>588</v>
      </c>
      <c r="C573" s="215" t="s">
        <v>359</v>
      </c>
      <c r="D573" s="214"/>
      <c r="E573" s="216" t="s">
        <v>67</v>
      </c>
      <c r="F573" s="236"/>
      <c r="G573" s="216"/>
      <c r="H573" s="216"/>
      <c r="I573" s="217">
        <f t="shared" si="451"/>
        <v>2180000</v>
      </c>
      <c r="J573" s="217">
        <f t="shared" si="451"/>
        <v>330000</v>
      </c>
      <c r="K573" s="217">
        <f t="shared" si="451"/>
        <v>1532000</v>
      </c>
      <c r="L573" s="217"/>
      <c r="M573" s="217"/>
      <c r="N573" s="217">
        <f t="shared" si="451"/>
        <v>1862000</v>
      </c>
      <c r="O573" s="217">
        <f t="shared" si="451"/>
        <v>318000</v>
      </c>
      <c r="P573" s="217"/>
      <c r="Q573" s="217">
        <f t="shared" si="451"/>
        <v>0</v>
      </c>
      <c r="R573" s="217">
        <f t="shared" si="451"/>
        <v>0</v>
      </c>
      <c r="S573" s="217">
        <f t="shared" si="451"/>
        <v>1862000</v>
      </c>
      <c r="T573" s="217">
        <f t="shared" si="451"/>
        <v>0</v>
      </c>
      <c r="U573" s="217">
        <f t="shared" si="451"/>
        <v>0</v>
      </c>
      <c r="V573" s="214"/>
      <c r="W573" s="283"/>
    </row>
    <row r="574" spans="1:23" x14ac:dyDescent="0.25">
      <c r="A574" s="234"/>
      <c r="B574" s="219" t="s">
        <v>588</v>
      </c>
      <c r="C574" s="219" t="s">
        <v>360</v>
      </c>
      <c r="D574" s="218"/>
      <c r="E574" s="220" t="s">
        <v>361</v>
      </c>
      <c r="F574" s="277"/>
      <c r="G574" s="220"/>
      <c r="H574" s="220"/>
      <c r="I574" s="221">
        <f>SUM(I575:I577)</f>
        <v>2180000</v>
      </c>
      <c r="J574" s="221">
        <f>SUM(J575:J577)</f>
        <v>330000</v>
      </c>
      <c r="K574" s="221">
        <f>SUM(K575:K577)</f>
        <v>1532000</v>
      </c>
      <c r="L574" s="221"/>
      <c r="M574" s="221"/>
      <c r="N574" s="221">
        <f>SUM(N575:N577)</f>
        <v>1862000</v>
      </c>
      <c r="O574" s="221">
        <f>SUM(O575:O577)</f>
        <v>318000</v>
      </c>
      <c r="P574" s="221"/>
      <c r="Q574" s="221">
        <f t="shared" ref="Q574:U574" si="452">SUM(Q575:Q577)</f>
        <v>0</v>
      </c>
      <c r="R574" s="221">
        <f t="shared" si="452"/>
        <v>0</v>
      </c>
      <c r="S574" s="221">
        <f t="shared" si="452"/>
        <v>1862000</v>
      </c>
      <c r="T574" s="221">
        <f t="shared" si="452"/>
        <v>0</v>
      </c>
      <c r="U574" s="221">
        <f t="shared" si="452"/>
        <v>0</v>
      </c>
      <c r="V574" s="218"/>
      <c r="W574" s="283"/>
    </row>
    <row r="575" spans="1:23" x14ac:dyDescent="0.25">
      <c r="A575" s="233"/>
      <c r="B575" s="223" t="s">
        <v>588</v>
      </c>
      <c r="C575" s="223" t="s">
        <v>362</v>
      </c>
      <c r="D575" s="222"/>
      <c r="E575" s="224" t="s">
        <v>363</v>
      </c>
      <c r="F575" s="258"/>
      <c r="G575" s="224"/>
      <c r="H575" s="224"/>
      <c r="I575" s="225">
        <v>100000</v>
      </c>
      <c r="J575" s="225">
        <v>0</v>
      </c>
      <c r="K575" s="225">
        <f>[1]Nov!I612</f>
        <v>100000</v>
      </c>
      <c r="L575" s="225"/>
      <c r="M575" s="225"/>
      <c r="N575" s="225">
        <f t="shared" ref="N575:N577" si="453">J575+K575</f>
        <v>100000</v>
      </c>
      <c r="O575" s="225">
        <f t="shared" ref="O575:O577" si="454">I575-N575</f>
        <v>0</v>
      </c>
      <c r="P575" s="225"/>
      <c r="Q575" s="225"/>
      <c r="R575" s="225"/>
      <c r="S575" s="225">
        <f>N575</f>
        <v>100000</v>
      </c>
      <c r="T575" s="225"/>
      <c r="U575" s="225"/>
      <c r="V575" s="222"/>
      <c r="W575" s="283"/>
    </row>
    <row r="576" spans="1:23" x14ac:dyDescent="0.25">
      <c r="A576" s="233"/>
      <c r="B576" s="223" t="s">
        <v>588</v>
      </c>
      <c r="C576" s="223" t="s">
        <v>366</v>
      </c>
      <c r="D576" s="222"/>
      <c r="E576" s="224" t="s">
        <v>367</v>
      </c>
      <c r="F576" s="258"/>
      <c r="G576" s="224"/>
      <c r="H576" s="224"/>
      <c r="I576" s="225">
        <v>100000</v>
      </c>
      <c r="J576" s="225">
        <v>0</v>
      </c>
      <c r="K576" s="225">
        <f>[1]Nov!I613</f>
        <v>100000</v>
      </c>
      <c r="L576" s="225"/>
      <c r="M576" s="225"/>
      <c r="N576" s="225">
        <f t="shared" si="453"/>
        <v>100000</v>
      </c>
      <c r="O576" s="225">
        <f t="shared" si="454"/>
        <v>0</v>
      </c>
      <c r="P576" s="225"/>
      <c r="Q576" s="225"/>
      <c r="R576" s="225"/>
      <c r="S576" s="225">
        <f t="shared" ref="S576:S577" si="455">N576</f>
        <v>100000</v>
      </c>
      <c r="T576" s="225"/>
      <c r="U576" s="225"/>
      <c r="V576" s="222"/>
      <c r="W576" s="283"/>
    </row>
    <row r="577" spans="1:23" x14ac:dyDescent="0.25">
      <c r="A577" s="233"/>
      <c r="B577" s="223" t="s">
        <v>588</v>
      </c>
      <c r="C577" s="223" t="s">
        <v>368</v>
      </c>
      <c r="D577" s="222"/>
      <c r="E577" s="224" t="s">
        <v>369</v>
      </c>
      <c r="F577" s="258"/>
      <c r="G577" s="224"/>
      <c r="H577" s="224"/>
      <c r="I577" s="225">
        <v>1980000</v>
      </c>
      <c r="J577" s="225">
        <v>330000</v>
      </c>
      <c r="K577" s="225">
        <f>[1]Nov!I614</f>
        <v>1332000</v>
      </c>
      <c r="L577" s="225"/>
      <c r="M577" s="225"/>
      <c r="N577" s="225">
        <f t="shared" si="453"/>
        <v>1662000</v>
      </c>
      <c r="O577" s="225">
        <f t="shared" si="454"/>
        <v>318000</v>
      </c>
      <c r="P577" s="225"/>
      <c r="Q577" s="225"/>
      <c r="R577" s="225"/>
      <c r="S577" s="225">
        <f t="shared" si="455"/>
        <v>1662000</v>
      </c>
      <c r="T577" s="225"/>
      <c r="U577" s="225"/>
      <c r="V577" s="222"/>
      <c r="W577" s="283"/>
    </row>
    <row r="578" spans="1:23" x14ac:dyDescent="0.25">
      <c r="A578" s="233"/>
      <c r="B578" s="223"/>
      <c r="C578" s="223"/>
      <c r="D578" s="222"/>
      <c r="E578" s="224"/>
      <c r="F578" s="258"/>
      <c r="G578" s="224"/>
      <c r="H578" s="224"/>
      <c r="I578" s="225"/>
      <c r="J578" s="225"/>
      <c r="K578" s="225"/>
      <c r="L578" s="225"/>
      <c r="M578" s="225"/>
      <c r="N578" s="225"/>
      <c r="O578" s="225"/>
      <c r="P578" s="225"/>
      <c r="Q578" s="225"/>
      <c r="R578" s="225"/>
      <c r="S578" s="225"/>
      <c r="T578" s="225"/>
      <c r="U578" s="225"/>
      <c r="V578" s="222"/>
      <c r="W578" s="281"/>
    </row>
    <row r="579" spans="1:23" x14ac:dyDescent="0.25">
      <c r="A579" s="232"/>
      <c r="B579" s="215">
        <v>4</v>
      </c>
      <c r="C579" s="232"/>
      <c r="D579" s="216" t="s">
        <v>590</v>
      </c>
      <c r="E579" s="214"/>
      <c r="F579" s="291"/>
      <c r="G579" s="214"/>
      <c r="H579" s="214"/>
      <c r="I579" s="217">
        <f>I580+I602+I612+I645+I655</f>
        <v>35902300</v>
      </c>
      <c r="J579" s="217">
        <f>J580+J602+J612+J645+J655</f>
        <v>18565000</v>
      </c>
      <c r="K579" s="217">
        <f>K580+K602+K612+K645+K655</f>
        <v>17202250</v>
      </c>
      <c r="L579" s="217"/>
      <c r="M579" s="217"/>
      <c r="N579" s="217">
        <f>N580+N602+N612+N645+N655</f>
        <v>35767250</v>
      </c>
      <c r="O579" s="217">
        <f>O580+O602+O612+O645+O655</f>
        <v>135050</v>
      </c>
      <c r="P579" s="217"/>
      <c r="Q579" s="217">
        <f>Q580+Q602+Q612+Q645+Q655</f>
        <v>22752250</v>
      </c>
      <c r="R579" s="217">
        <f>R580+R602+R612+R645+R655</f>
        <v>0</v>
      </c>
      <c r="S579" s="217">
        <f>S580+S602+S612+S645+S655</f>
        <v>13015000</v>
      </c>
      <c r="T579" s="217">
        <f>T580+T602+T612+T645+T655</f>
        <v>0</v>
      </c>
      <c r="U579" s="217">
        <f>U580+U602+U612+U645+U655</f>
        <v>0</v>
      </c>
      <c r="V579" s="214"/>
      <c r="W579" s="281"/>
    </row>
    <row r="580" spans="1:23" x14ac:dyDescent="0.25">
      <c r="A580" s="232"/>
      <c r="B580" s="215" t="s">
        <v>591</v>
      </c>
      <c r="C580" s="232"/>
      <c r="D580" s="216" t="s">
        <v>115</v>
      </c>
      <c r="E580" s="214"/>
      <c r="F580" s="291"/>
      <c r="G580" s="214"/>
      <c r="H580" s="214"/>
      <c r="I580" s="217">
        <f>I581+I591</f>
        <v>5177500</v>
      </c>
      <c r="J580" s="217">
        <f>J581+J591</f>
        <v>0</v>
      </c>
      <c r="K580" s="217">
        <f>K581+K591</f>
        <v>5042500</v>
      </c>
      <c r="L580" s="217"/>
      <c r="M580" s="217"/>
      <c r="N580" s="217">
        <f>N581+N591</f>
        <v>5042500</v>
      </c>
      <c r="O580" s="217">
        <f>O581+O591</f>
        <v>135000</v>
      </c>
      <c r="P580" s="217"/>
      <c r="Q580" s="217">
        <f>Q581+Q591</f>
        <v>5042500</v>
      </c>
      <c r="R580" s="217">
        <f>R581+R591</f>
        <v>0</v>
      </c>
      <c r="S580" s="217">
        <f>S581+S591</f>
        <v>0</v>
      </c>
      <c r="T580" s="217">
        <f>T581+T591</f>
        <v>0</v>
      </c>
      <c r="U580" s="217">
        <f>U581+U591</f>
        <v>0</v>
      </c>
      <c r="V580" s="214"/>
      <c r="W580" s="281"/>
    </row>
    <row r="581" spans="1:23" ht="30" x14ac:dyDescent="0.25">
      <c r="A581" s="232"/>
      <c r="B581" s="215" t="s">
        <v>592</v>
      </c>
      <c r="C581" s="232"/>
      <c r="D581" s="214"/>
      <c r="E581" s="236" t="s">
        <v>593</v>
      </c>
      <c r="F581" s="236"/>
      <c r="G581" s="216"/>
      <c r="H581" s="216"/>
      <c r="I581" s="217">
        <f>I582</f>
        <v>0</v>
      </c>
      <c r="J581" s="217">
        <f>J582</f>
        <v>0</v>
      </c>
      <c r="K581" s="217">
        <f>K582</f>
        <v>0</v>
      </c>
      <c r="L581" s="217"/>
      <c r="M581" s="217"/>
      <c r="N581" s="217">
        <f>N582</f>
        <v>0</v>
      </c>
      <c r="O581" s="217">
        <f>O582</f>
        <v>0</v>
      </c>
      <c r="P581" s="217"/>
      <c r="Q581" s="217">
        <f t="shared" ref="Q581:U581" si="456">Q582</f>
        <v>0</v>
      </c>
      <c r="R581" s="217">
        <f t="shared" si="456"/>
        <v>0</v>
      </c>
      <c r="S581" s="217">
        <f t="shared" si="456"/>
        <v>0</v>
      </c>
      <c r="T581" s="217">
        <f t="shared" si="456"/>
        <v>0</v>
      </c>
      <c r="U581" s="217">
        <f t="shared" si="456"/>
        <v>0</v>
      </c>
      <c r="V581" s="214"/>
      <c r="W581" s="282"/>
    </row>
    <row r="582" spans="1:23" x14ac:dyDescent="0.25">
      <c r="A582" s="232"/>
      <c r="B582" s="215" t="s">
        <v>592</v>
      </c>
      <c r="C582" s="215" t="s">
        <v>359</v>
      </c>
      <c r="D582" s="214"/>
      <c r="E582" s="236" t="s">
        <v>67</v>
      </c>
      <c r="F582" s="236"/>
      <c r="G582" s="216"/>
      <c r="H582" s="216"/>
      <c r="I582" s="217">
        <f>I583+I586+I588</f>
        <v>0</v>
      </c>
      <c r="J582" s="217">
        <f>J583+J586+J588</f>
        <v>0</v>
      </c>
      <c r="K582" s="217">
        <f>K583+K586+K588</f>
        <v>0</v>
      </c>
      <c r="L582" s="217"/>
      <c r="M582" s="217"/>
      <c r="N582" s="217">
        <f>N583+N586+N588</f>
        <v>0</v>
      </c>
      <c r="O582" s="217">
        <f>O583+O586+O588</f>
        <v>0</v>
      </c>
      <c r="P582" s="217"/>
      <c r="Q582" s="217">
        <f t="shared" ref="Q582:U582" si="457">Q583+Q586+Q588</f>
        <v>0</v>
      </c>
      <c r="R582" s="217">
        <f t="shared" si="457"/>
        <v>0</v>
      </c>
      <c r="S582" s="217">
        <f t="shared" si="457"/>
        <v>0</v>
      </c>
      <c r="T582" s="217">
        <f t="shared" si="457"/>
        <v>0</v>
      </c>
      <c r="U582" s="217">
        <f t="shared" si="457"/>
        <v>0</v>
      </c>
      <c r="V582" s="214"/>
      <c r="W582" s="283"/>
    </row>
    <row r="583" spans="1:23" x14ac:dyDescent="0.25">
      <c r="A583" s="234"/>
      <c r="B583" s="219" t="s">
        <v>592</v>
      </c>
      <c r="C583" s="219" t="s">
        <v>360</v>
      </c>
      <c r="D583" s="218"/>
      <c r="E583" s="277" t="s">
        <v>361</v>
      </c>
      <c r="F583" s="277"/>
      <c r="G583" s="220"/>
      <c r="H583" s="220"/>
      <c r="I583" s="221">
        <f>SUM(I584:I585)</f>
        <v>0</v>
      </c>
      <c r="J583" s="221">
        <f>SUM(J584:J585)</f>
        <v>0</v>
      </c>
      <c r="K583" s="221">
        <f>SUM(K584:K585)</f>
        <v>0</v>
      </c>
      <c r="L583" s="221"/>
      <c r="M583" s="221"/>
      <c r="N583" s="221">
        <f>SUM(N584:N585)</f>
        <v>0</v>
      </c>
      <c r="O583" s="221">
        <f>SUM(O584:O585)</f>
        <v>0</v>
      </c>
      <c r="P583" s="221"/>
      <c r="Q583" s="221">
        <f t="shared" ref="Q583:U583" si="458">SUM(Q584:Q585)</f>
        <v>0</v>
      </c>
      <c r="R583" s="221">
        <f t="shared" si="458"/>
        <v>0</v>
      </c>
      <c r="S583" s="221">
        <f t="shared" si="458"/>
        <v>0</v>
      </c>
      <c r="T583" s="221">
        <f t="shared" si="458"/>
        <v>0</v>
      </c>
      <c r="U583" s="221">
        <f t="shared" si="458"/>
        <v>0</v>
      </c>
      <c r="V583" s="218"/>
      <c r="W583" s="283"/>
    </row>
    <row r="584" spans="1:23" x14ac:dyDescent="0.25">
      <c r="A584" s="233"/>
      <c r="B584" s="223" t="s">
        <v>592</v>
      </c>
      <c r="C584" s="223" t="s">
        <v>366</v>
      </c>
      <c r="D584" s="222"/>
      <c r="E584" s="258" t="s">
        <v>367</v>
      </c>
      <c r="F584" s="258"/>
      <c r="G584" s="224"/>
      <c r="H584" s="224"/>
      <c r="I584" s="225">
        <v>0</v>
      </c>
      <c r="J584" s="225">
        <v>0</v>
      </c>
      <c r="K584" s="225">
        <f>[1]Nov!I621</f>
        <v>0</v>
      </c>
      <c r="L584" s="225"/>
      <c r="M584" s="225"/>
      <c r="N584" s="225">
        <f t="shared" ref="N584:N585" si="459">J584+K584</f>
        <v>0</v>
      </c>
      <c r="O584" s="225">
        <f t="shared" ref="O584:O585" si="460">I584-N584</f>
        <v>0</v>
      </c>
      <c r="P584" s="225"/>
      <c r="Q584" s="225"/>
      <c r="R584" s="225"/>
      <c r="S584" s="225"/>
      <c r="T584" s="225"/>
      <c r="U584" s="225"/>
      <c r="V584" s="222"/>
      <c r="W584" s="282"/>
    </row>
    <row r="585" spans="1:23" ht="30" x14ac:dyDescent="0.25">
      <c r="A585" s="233"/>
      <c r="B585" s="223" t="s">
        <v>592</v>
      </c>
      <c r="C585" s="223" t="s">
        <v>368</v>
      </c>
      <c r="D585" s="222"/>
      <c r="E585" s="258" t="s">
        <v>369</v>
      </c>
      <c r="F585" s="258"/>
      <c r="G585" s="224"/>
      <c r="H585" s="224"/>
      <c r="I585" s="225">
        <v>0</v>
      </c>
      <c r="J585" s="225">
        <v>0</v>
      </c>
      <c r="K585" s="225">
        <f>[1]Nov!I622</f>
        <v>0</v>
      </c>
      <c r="L585" s="225"/>
      <c r="M585" s="225"/>
      <c r="N585" s="225">
        <f t="shared" si="459"/>
        <v>0</v>
      </c>
      <c r="O585" s="225">
        <f t="shared" si="460"/>
        <v>0</v>
      </c>
      <c r="P585" s="225"/>
      <c r="Q585" s="225"/>
      <c r="R585" s="225"/>
      <c r="S585" s="225"/>
      <c r="T585" s="225"/>
      <c r="U585" s="225"/>
      <c r="V585" s="222"/>
      <c r="W585" s="283"/>
    </row>
    <row r="586" spans="1:23" x14ac:dyDescent="0.25">
      <c r="A586" s="234"/>
      <c r="B586" s="219" t="s">
        <v>592</v>
      </c>
      <c r="C586" s="219" t="s">
        <v>370</v>
      </c>
      <c r="D586" s="218"/>
      <c r="E586" s="277" t="s">
        <v>81</v>
      </c>
      <c r="F586" s="277"/>
      <c r="G586" s="220"/>
      <c r="H586" s="220"/>
      <c r="I586" s="221">
        <f>SUM(I587)</f>
        <v>0</v>
      </c>
      <c r="J586" s="221">
        <f>SUM(J587)</f>
        <v>0</v>
      </c>
      <c r="K586" s="221">
        <f>SUM(K587)</f>
        <v>0</v>
      </c>
      <c r="L586" s="221"/>
      <c r="M586" s="221"/>
      <c r="N586" s="221">
        <f>SUM(N587)</f>
        <v>0</v>
      </c>
      <c r="O586" s="221">
        <f>SUM(O587)</f>
        <v>0</v>
      </c>
      <c r="P586" s="221"/>
      <c r="Q586" s="221"/>
      <c r="R586" s="221"/>
      <c r="S586" s="221"/>
      <c r="T586" s="221"/>
      <c r="U586" s="221"/>
      <c r="V586" s="218"/>
      <c r="W586" s="283"/>
    </row>
    <row r="587" spans="1:23" ht="30" x14ac:dyDescent="0.25">
      <c r="A587" s="233"/>
      <c r="B587" s="223" t="s">
        <v>592</v>
      </c>
      <c r="C587" s="223" t="s">
        <v>436</v>
      </c>
      <c r="D587" s="222"/>
      <c r="E587" s="258" t="s">
        <v>437</v>
      </c>
      <c r="F587" s="258"/>
      <c r="G587" s="224"/>
      <c r="H587" s="224"/>
      <c r="I587" s="225">
        <v>0</v>
      </c>
      <c r="J587" s="225">
        <v>0</v>
      </c>
      <c r="K587" s="225">
        <f>[1]Nov!I624</f>
        <v>0</v>
      </c>
      <c r="L587" s="225"/>
      <c r="M587" s="225"/>
      <c r="N587" s="225">
        <f t="shared" ref="N587" si="461">J587+K587</f>
        <v>0</v>
      </c>
      <c r="O587" s="225">
        <f t="shared" ref="O587" si="462">I587-N587</f>
        <v>0</v>
      </c>
      <c r="P587" s="225"/>
      <c r="Q587" s="225"/>
      <c r="R587" s="225"/>
      <c r="S587" s="225"/>
      <c r="T587" s="225"/>
      <c r="U587" s="225"/>
      <c r="V587" s="222"/>
      <c r="W587" s="282"/>
    </row>
    <row r="588" spans="1:23" ht="28.5" x14ac:dyDescent="0.25">
      <c r="A588" s="234"/>
      <c r="B588" s="219" t="s">
        <v>592</v>
      </c>
      <c r="C588" s="219" t="s">
        <v>460</v>
      </c>
      <c r="D588" s="218"/>
      <c r="E588" s="277" t="s">
        <v>461</v>
      </c>
      <c r="F588" s="277"/>
      <c r="G588" s="220"/>
      <c r="H588" s="220"/>
      <c r="I588" s="221">
        <f>SUM(I589)</f>
        <v>0</v>
      </c>
      <c r="J588" s="221">
        <f>SUM(J589)</f>
        <v>0</v>
      </c>
      <c r="K588" s="221">
        <f>SUM(K589)</f>
        <v>0</v>
      </c>
      <c r="L588" s="221"/>
      <c r="M588" s="221"/>
      <c r="N588" s="221">
        <f>SUM(N589)</f>
        <v>0</v>
      </c>
      <c r="O588" s="221">
        <f>SUM(O589)</f>
        <v>0</v>
      </c>
      <c r="P588" s="221"/>
      <c r="Q588" s="221"/>
      <c r="R588" s="221"/>
      <c r="S588" s="221"/>
      <c r="T588" s="221"/>
      <c r="U588" s="221"/>
      <c r="V588" s="218"/>
      <c r="W588" s="283"/>
    </row>
    <row r="589" spans="1:23" ht="30" x14ac:dyDescent="0.25">
      <c r="A589" s="233"/>
      <c r="B589" s="223" t="s">
        <v>592</v>
      </c>
      <c r="C589" s="223" t="s">
        <v>594</v>
      </c>
      <c r="D589" s="222"/>
      <c r="E589" s="258" t="s">
        <v>595</v>
      </c>
      <c r="F589" s="258"/>
      <c r="G589" s="224"/>
      <c r="H589" s="224"/>
      <c r="I589" s="225">
        <v>0</v>
      </c>
      <c r="J589" s="225">
        <v>0</v>
      </c>
      <c r="K589" s="225">
        <f>[1]Nov!I626</f>
        <v>0</v>
      </c>
      <c r="L589" s="225"/>
      <c r="M589" s="225"/>
      <c r="N589" s="225">
        <f t="shared" ref="N589" si="463">J589+K589</f>
        <v>0</v>
      </c>
      <c r="O589" s="225">
        <f t="shared" ref="O589" si="464">I589-N589</f>
        <v>0</v>
      </c>
      <c r="P589" s="225"/>
      <c r="Q589" s="225"/>
      <c r="R589" s="225"/>
      <c r="S589" s="225"/>
      <c r="T589" s="225"/>
      <c r="U589" s="225"/>
      <c r="V589" s="222"/>
      <c r="W589" s="283"/>
    </row>
    <row r="590" spans="1:23" x14ac:dyDescent="0.25">
      <c r="A590" s="233"/>
      <c r="B590" s="223"/>
      <c r="C590" s="223"/>
      <c r="D590" s="222"/>
      <c r="E590" s="258"/>
      <c r="F590" s="258"/>
      <c r="G590" s="224"/>
      <c r="H590" s="224"/>
      <c r="I590" s="225"/>
      <c r="J590" s="225"/>
      <c r="K590" s="225"/>
      <c r="L590" s="225"/>
      <c r="M590" s="225"/>
      <c r="N590" s="225"/>
      <c r="O590" s="225"/>
      <c r="P590" s="225"/>
      <c r="Q590" s="225"/>
      <c r="R590" s="225"/>
      <c r="S590" s="225"/>
      <c r="T590" s="225"/>
      <c r="U590" s="225"/>
      <c r="V590" s="222"/>
      <c r="W590" s="283"/>
    </row>
    <row r="591" spans="1:23" ht="58.5" customHeight="1" x14ac:dyDescent="0.25">
      <c r="A591" s="232"/>
      <c r="B591" s="215" t="s">
        <v>596</v>
      </c>
      <c r="C591" s="232"/>
      <c r="D591" s="214"/>
      <c r="E591" s="236" t="s">
        <v>662</v>
      </c>
      <c r="F591" s="236" t="s">
        <v>731</v>
      </c>
      <c r="G591" s="216"/>
      <c r="H591" s="216"/>
      <c r="I591" s="217">
        <f>I592</f>
        <v>5177500</v>
      </c>
      <c r="J591" s="217">
        <f>J592</f>
        <v>0</v>
      </c>
      <c r="K591" s="217">
        <f>K592</f>
        <v>5042500</v>
      </c>
      <c r="L591" s="217"/>
      <c r="M591" s="217"/>
      <c r="N591" s="217">
        <f>N592</f>
        <v>5042500</v>
      </c>
      <c r="O591" s="217">
        <f>O592</f>
        <v>135000</v>
      </c>
      <c r="P591" s="217"/>
      <c r="Q591" s="217">
        <f t="shared" ref="Q591:U591" si="465">Q592</f>
        <v>5042500</v>
      </c>
      <c r="R591" s="217">
        <f t="shared" si="465"/>
        <v>0</v>
      </c>
      <c r="S591" s="217">
        <f t="shared" si="465"/>
        <v>0</v>
      </c>
      <c r="T591" s="217">
        <f t="shared" si="465"/>
        <v>0</v>
      </c>
      <c r="U591" s="217">
        <f t="shared" si="465"/>
        <v>0</v>
      </c>
      <c r="V591" s="214"/>
      <c r="W591" s="283"/>
    </row>
    <row r="592" spans="1:23" x14ac:dyDescent="0.25">
      <c r="A592" s="232"/>
      <c r="B592" s="215" t="s">
        <v>596</v>
      </c>
      <c r="C592" s="215" t="s">
        <v>359</v>
      </c>
      <c r="D592" s="214"/>
      <c r="E592" s="216" t="s">
        <v>67</v>
      </c>
      <c r="F592" s="236"/>
      <c r="G592" s="216"/>
      <c r="H592" s="216"/>
      <c r="I592" s="217">
        <f>I593+I598</f>
        <v>5177500</v>
      </c>
      <c r="J592" s="217">
        <f>J593+J598</f>
        <v>0</v>
      </c>
      <c r="K592" s="217">
        <f>K593+K598</f>
        <v>5042500</v>
      </c>
      <c r="L592" s="217"/>
      <c r="M592" s="217"/>
      <c r="N592" s="217">
        <f>N593+N598</f>
        <v>5042500</v>
      </c>
      <c r="O592" s="217">
        <f>O593+O598</f>
        <v>135000</v>
      </c>
      <c r="P592" s="217"/>
      <c r="Q592" s="217">
        <f t="shared" ref="Q592:U592" si="466">Q593+Q598</f>
        <v>5042500</v>
      </c>
      <c r="R592" s="217">
        <f t="shared" si="466"/>
        <v>0</v>
      </c>
      <c r="S592" s="217">
        <f t="shared" si="466"/>
        <v>0</v>
      </c>
      <c r="T592" s="217">
        <f t="shared" si="466"/>
        <v>0</v>
      </c>
      <c r="U592" s="217">
        <f t="shared" si="466"/>
        <v>0</v>
      </c>
      <c r="V592" s="214"/>
      <c r="W592" s="283"/>
    </row>
    <row r="593" spans="1:23" x14ac:dyDescent="0.25">
      <c r="A593" s="234"/>
      <c r="B593" s="219" t="s">
        <v>596</v>
      </c>
      <c r="C593" s="219" t="s">
        <v>360</v>
      </c>
      <c r="D593" s="218"/>
      <c r="E593" s="220" t="s">
        <v>361</v>
      </c>
      <c r="F593" s="277"/>
      <c r="G593" s="220"/>
      <c r="H593" s="220"/>
      <c r="I593" s="221">
        <f>SUM(I594:I597)</f>
        <v>4337500</v>
      </c>
      <c r="J593" s="221">
        <f>SUM(J594:J597)</f>
        <v>0</v>
      </c>
      <c r="K593" s="221">
        <f>SUM(K594:K597)</f>
        <v>4202500</v>
      </c>
      <c r="L593" s="221"/>
      <c r="M593" s="221"/>
      <c r="N593" s="221">
        <f>SUM(N594:N597)</f>
        <v>4202500</v>
      </c>
      <c r="O593" s="221">
        <f>SUM(O594:O597)</f>
        <v>135000</v>
      </c>
      <c r="P593" s="221"/>
      <c r="Q593" s="221">
        <f t="shared" ref="Q593:U593" si="467">SUM(Q594:Q597)</f>
        <v>4202500</v>
      </c>
      <c r="R593" s="221">
        <f t="shared" si="467"/>
        <v>0</v>
      </c>
      <c r="S593" s="221">
        <f t="shared" si="467"/>
        <v>0</v>
      </c>
      <c r="T593" s="221">
        <f t="shared" si="467"/>
        <v>0</v>
      </c>
      <c r="U593" s="221">
        <f t="shared" si="467"/>
        <v>0</v>
      </c>
      <c r="V593" s="218"/>
      <c r="W593" s="283"/>
    </row>
    <row r="594" spans="1:23" x14ac:dyDescent="0.25">
      <c r="A594" s="233"/>
      <c r="B594" s="223" t="s">
        <v>596</v>
      </c>
      <c r="C594" s="223" t="s">
        <v>366</v>
      </c>
      <c r="D594" s="222"/>
      <c r="E594" s="224" t="s">
        <v>367</v>
      </c>
      <c r="F594" s="258"/>
      <c r="G594" s="224"/>
      <c r="H594" s="224"/>
      <c r="I594" s="225">
        <v>240000</v>
      </c>
      <c r="J594" s="225">
        <v>0</v>
      </c>
      <c r="K594" s="225">
        <f>[1]Nov!I633</f>
        <v>240000</v>
      </c>
      <c r="L594" s="225"/>
      <c r="M594" s="225"/>
      <c r="N594" s="225">
        <f t="shared" ref="N594:N597" si="468">J594+K594</f>
        <v>240000</v>
      </c>
      <c r="O594" s="225">
        <f t="shared" ref="O594:O597" si="469">I594-N594</f>
        <v>0</v>
      </c>
      <c r="P594" s="225"/>
      <c r="Q594" s="225">
        <f>N594</f>
        <v>240000</v>
      </c>
      <c r="R594" s="225"/>
      <c r="S594" s="225"/>
      <c r="T594" s="225"/>
      <c r="U594" s="225"/>
      <c r="V594" s="222"/>
      <c r="W594" s="283"/>
    </row>
    <row r="595" spans="1:23" x14ac:dyDescent="0.25">
      <c r="A595" s="233"/>
      <c r="B595" s="223" t="s">
        <v>596</v>
      </c>
      <c r="C595" s="223" t="s">
        <v>368</v>
      </c>
      <c r="D595" s="222"/>
      <c r="E595" s="224" t="s">
        <v>369</v>
      </c>
      <c r="F595" s="258"/>
      <c r="G595" s="224"/>
      <c r="H595" s="224"/>
      <c r="I595" s="225">
        <v>2762500</v>
      </c>
      <c r="J595" s="225">
        <v>0</v>
      </c>
      <c r="K595" s="225">
        <f>[1]Nov!I634</f>
        <v>2762500</v>
      </c>
      <c r="L595" s="225"/>
      <c r="M595" s="225"/>
      <c r="N595" s="225">
        <f t="shared" si="468"/>
        <v>2762500</v>
      </c>
      <c r="O595" s="225">
        <f t="shared" si="469"/>
        <v>0</v>
      </c>
      <c r="P595" s="225"/>
      <c r="Q595" s="225">
        <f t="shared" ref="Q595:Q597" si="470">N595</f>
        <v>2762500</v>
      </c>
      <c r="R595" s="225"/>
      <c r="S595" s="225"/>
      <c r="T595" s="225"/>
      <c r="U595" s="225"/>
      <c r="V595" s="222"/>
      <c r="W595" s="283"/>
    </row>
    <row r="596" spans="1:23" x14ac:dyDescent="0.25">
      <c r="A596" s="233"/>
      <c r="B596" s="223" t="s">
        <v>596</v>
      </c>
      <c r="C596" s="223" t="s">
        <v>597</v>
      </c>
      <c r="D596" s="222"/>
      <c r="E596" s="224" t="s">
        <v>598</v>
      </c>
      <c r="F596" s="258"/>
      <c r="G596" s="224"/>
      <c r="H596" s="224"/>
      <c r="I596" s="225">
        <v>785000</v>
      </c>
      <c r="J596" s="225">
        <v>0</v>
      </c>
      <c r="K596" s="225">
        <f>[1]Nov!I635</f>
        <v>650000</v>
      </c>
      <c r="L596" s="225"/>
      <c r="M596" s="225"/>
      <c r="N596" s="225">
        <f t="shared" si="468"/>
        <v>650000</v>
      </c>
      <c r="O596" s="225">
        <f t="shared" si="469"/>
        <v>135000</v>
      </c>
      <c r="P596" s="225"/>
      <c r="Q596" s="225">
        <f t="shared" si="470"/>
        <v>650000</v>
      </c>
      <c r="R596" s="225"/>
      <c r="S596" s="225"/>
      <c r="T596" s="225"/>
      <c r="U596" s="225"/>
      <c r="V596" s="222"/>
      <c r="W596" s="283"/>
    </row>
    <row r="597" spans="1:23" x14ac:dyDescent="0.25">
      <c r="A597" s="233"/>
      <c r="B597" s="223" t="s">
        <v>596</v>
      </c>
      <c r="C597" s="223" t="s">
        <v>487</v>
      </c>
      <c r="D597" s="222"/>
      <c r="E597" s="224" t="s">
        <v>488</v>
      </c>
      <c r="F597" s="258"/>
      <c r="G597" s="224"/>
      <c r="H597" s="224"/>
      <c r="I597" s="225">
        <v>550000</v>
      </c>
      <c r="J597" s="225">
        <v>0</v>
      </c>
      <c r="K597" s="225">
        <f>[1]Nov!I636</f>
        <v>550000</v>
      </c>
      <c r="L597" s="225"/>
      <c r="M597" s="225"/>
      <c r="N597" s="225">
        <f t="shared" si="468"/>
        <v>550000</v>
      </c>
      <c r="O597" s="225">
        <f t="shared" si="469"/>
        <v>0</v>
      </c>
      <c r="P597" s="225"/>
      <c r="Q597" s="225">
        <f t="shared" si="470"/>
        <v>550000</v>
      </c>
      <c r="R597" s="225"/>
      <c r="S597" s="225"/>
      <c r="T597" s="225"/>
      <c r="U597" s="225"/>
      <c r="V597" s="222"/>
      <c r="W597" s="283"/>
    </row>
    <row r="598" spans="1:23" x14ac:dyDescent="0.25">
      <c r="A598" s="234"/>
      <c r="B598" s="219" t="s">
        <v>596</v>
      </c>
      <c r="C598" s="219" t="s">
        <v>370</v>
      </c>
      <c r="D598" s="218"/>
      <c r="E598" s="220" t="s">
        <v>81</v>
      </c>
      <c r="F598" s="277"/>
      <c r="G598" s="220"/>
      <c r="H598" s="220"/>
      <c r="I598" s="221">
        <f>SUM(I599:I600)</f>
        <v>840000</v>
      </c>
      <c r="J598" s="221">
        <f>SUM(J599:J600)</f>
        <v>0</v>
      </c>
      <c r="K598" s="221">
        <f>SUM(K599:K600)</f>
        <v>840000</v>
      </c>
      <c r="L598" s="221"/>
      <c r="M598" s="221"/>
      <c r="N598" s="221">
        <f>SUM(N599:N600)</f>
        <v>840000</v>
      </c>
      <c r="O598" s="221">
        <f>SUM(O599:O600)</f>
        <v>0</v>
      </c>
      <c r="P598" s="221"/>
      <c r="Q598" s="221">
        <f t="shared" ref="Q598:U598" si="471">SUM(Q599:Q600)</f>
        <v>840000</v>
      </c>
      <c r="R598" s="221">
        <f t="shared" si="471"/>
        <v>0</v>
      </c>
      <c r="S598" s="221">
        <f t="shared" si="471"/>
        <v>0</v>
      </c>
      <c r="T598" s="221">
        <f t="shared" si="471"/>
        <v>0</v>
      </c>
      <c r="U598" s="221">
        <f t="shared" si="471"/>
        <v>0</v>
      </c>
      <c r="V598" s="218"/>
      <c r="W598" s="281"/>
    </row>
    <row r="599" spans="1:23" ht="30" x14ac:dyDescent="0.25">
      <c r="A599" s="233"/>
      <c r="B599" s="223" t="s">
        <v>596</v>
      </c>
      <c r="C599" s="223" t="s">
        <v>476</v>
      </c>
      <c r="D599" s="222"/>
      <c r="E599" s="258" t="s">
        <v>477</v>
      </c>
      <c r="F599" s="258"/>
      <c r="G599" s="224"/>
      <c r="H599" s="224"/>
      <c r="I599" s="225">
        <v>450000</v>
      </c>
      <c r="J599" s="225">
        <v>0</v>
      </c>
      <c r="K599" s="225">
        <f>[1]Nov!I638</f>
        <v>450000</v>
      </c>
      <c r="L599" s="225"/>
      <c r="M599" s="225"/>
      <c r="N599" s="225">
        <f t="shared" ref="N599:N600" si="472">J599+K599</f>
        <v>450000</v>
      </c>
      <c r="O599" s="225">
        <f t="shared" ref="O599:O600" si="473">I599-N599</f>
        <v>0</v>
      </c>
      <c r="P599" s="225"/>
      <c r="Q599" s="225">
        <f>N599</f>
        <v>450000</v>
      </c>
      <c r="R599" s="225"/>
      <c r="S599" s="225"/>
      <c r="T599" s="225"/>
      <c r="U599" s="225"/>
      <c r="V599" s="222"/>
      <c r="W599" s="281"/>
    </row>
    <row r="600" spans="1:23" ht="30" x14ac:dyDescent="0.25">
      <c r="A600" s="233"/>
      <c r="B600" s="223" t="s">
        <v>596</v>
      </c>
      <c r="C600" s="223" t="s">
        <v>478</v>
      </c>
      <c r="D600" s="222"/>
      <c r="E600" s="258" t="s">
        <v>479</v>
      </c>
      <c r="F600" s="258"/>
      <c r="G600" s="224"/>
      <c r="H600" s="224"/>
      <c r="I600" s="225">
        <v>390000</v>
      </c>
      <c r="J600" s="225">
        <v>0</v>
      </c>
      <c r="K600" s="225">
        <f>[1]Nov!I639</f>
        <v>390000</v>
      </c>
      <c r="L600" s="225"/>
      <c r="M600" s="225"/>
      <c r="N600" s="225">
        <f t="shared" si="472"/>
        <v>390000</v>
      </c>
      <c r="O600" s="225">
        <f t="shared" si="473"/>
        <v>0</v>
      </c>
      <c r="P600" s="225"/>
      <c r="Q600" s="225">
        <f>N600</f>
        <v>390000</v>
      </c>
      <c r="R600" s="225"/>
      <c r="S600" s="225"/>
      <c r="T600" s="225"/>
      <c r="U600" s="225"/>
      <c r="V600" s="222"/>
      <c r="W600" s="282"/>
    </row>
    <row r="601" spans="1:23" x14ac:dyDescent="0.25">
      <c r="A601" s="233"/>
      <c r="B601" s="223"/>
      <c r="C601" s="223"/>
      <c r="D601" s="222"/>
      <c r="E601" s="258"/>
      <c r="F601" s="258"/>
      <c r="G601" s="224"/>
      <c r="H601" s="224"/>
      <c r="I601" s="225"/>
      <c r="J601" s="225"/>
      <c r="K601" s="225"/>
      <c r="L601" s="225"/>
      <c r="M601" s="225"/>
      <c r="N601" s="225"/>
      <c r="O601" s="225"/>
      <c r="P601" s="225"/>
      <c r="Q601" s="225"/>
      <c r="R601" s="225"/>
      <c r="S601" s="225"/>
      <c r="T601" s="225"/>
      <c r="U601" s="225"/>
      <c r="V601" s="222"/>
      <c r="W601" s="283"/>
    </row>
    <row r="602" spans="1:23" x14ac:dyDescent="0.25">
      <c r="A602" s="232"/>
      <c r="B602" s="215" t="s">
        <v>599</v>
      </c>
      <c r="C602" s="232"/>
      <c r="D602" s="216" t="s">
        <v>116</v>
      </c>
      <c r="E602" s="291"/>
      <c r="F602" s="291"/>
      <c r="G602" s="214"/>
      <c r="H602" s="214"/>
      <c r="I602" s="217">
        <f t="shared" ref="I602:U603" si="474">I603</f>
        <v>900000</v>
      </c>
      <c r="J602" s="217">
        <f t="shared" si="474"/>
        <v>0</v>
      </c>
      <c r="K602" s="217">
        <f t="shared" si="474"/>
        <v>900000</v>
      </c>
      <c r="L602" s="217"/>
      <c r="M602" s="217"/>
      <c r="N602" s="217">
        <f t="shared" si="474"/>
        <v>900000</v>
      </c>
      <c r="O602" s="217">
        <f t="shared" si="474"/>
        <v>0</v>
      </c>
      <c r="P602" s="217"/>
      <c r="Q602" s="217">
        <f t="shared" si="474"/>
        <v>900000</v>
      </c>
      <c r="R602" s="217">
        <f t="shared" si="474"/>
        <v>0</v>
      </c>
      <c r="S602" s="217">
        <f t="shared" si="474"/>
        <v>0</v>
      </c>
      <c r="T602" s="217">
        <f t="shared" si="474"/>
        <v>0</v>
      </c>
      <c r="U602" s="217">
        <f t="shared" si="474"/>
        <v>0</v>
      </c>
      <c r="V602" s="214"/>
      <c r="W602" s="283"/>
    </row>
    <row r="603" spans="1:23" ht="27.75" customHeight="1" x14ac:dyDescent="0.25">
      <c r="A603" s="232"/>
      <c r="B603" s="215" t="s">
        <v>600</v>
      </c>
      <c r="C603" s="232"/>
      <c r="D603" s="214"/>
      <c r="E603" s="236" t="s">
        <v>601</v>
      </c>
      <c r="F603" s="236" t="s">
        <v>732</v>
      </c>
      <c r="G603" s="216"/>
      <c r="H603" s="216"/>
      <c r="I603" s="217">
        <f t="shared" si="474"/>
        <v>900000</v>
      </c>
      <c r="J603" s="217">
        <f t="shared" si="474"/>
        <v>0</v>
      </c>
      <c r="K603" s="217">
        <f t="shared" si="474"/>
        <v>900000</v>
      </c>
      <c r="L603" s="217"/>
      <c r="M603" s="217"/>
      <c r="N603" s="217">
        <f t="shared" si="474"/>
        <v>900000</v>
      </c>
      <c r="O603" s="217">
        <f t="shared" si="474"/>
        <v>0</v>
      </c>
      <c r="P603" s="217"/>
      <c r="Q603" s="217">
        <f t="shared" si="474"/>
        <v>900000</v>
      </c>
      <c r="R603" s="217">
        <f t="shared" si="474"/>
        <v>0</v>
      </c>
      <c r="S603" s="217">
        <f t="shared" si="474"/>
        <v>0</v>
      </c>
      <c r="T603" s="217">
        <f t="shared" si="474"/>
        <v>0</v>
      </c>
      <c r="U603" s="217">
        <f t="shared" si="474"/>
        <v>0</v>
      </c>
      <c r="V603" s="214"/>
      <c r="W603" s="282"/>
    </row>
    <row r="604" spans="1:23" x14ac:dyDescent="0.25">
      <c r="A604" s="232"/>
      <c r="B604" s="215" t="s">
        <v>600</v>
      </c>
      <c r="C604" s="215" t="s">
        <v>359</v>
      </c>
      <c r="D604" s="214"/>
      <c r="E604" s="236" t="s">
        <v>67</v>
      </c>
      <c r="F604" s="236"/>
      <c r="G604" s="216"/>
      <c r="H604" s="216"/>
      <c r="I604" s="217">
        <f>I605+I608</f>
        <v>900000</v>
      </c>
      <c r="J604" s="217">
        <f>J605+J608</f>
        <v>0</v>
      </c>
      <c r="K604" s="217">
        <f>K605+K608</f>
        <v>900000</v>
      </c>
      <c r="L604" s="217"/>
      <c r="M604" s="217"/>
      <c r="N604" s="217">
        <f>N605+N608</f>
        <v>900000</v>
      </c>
      <c r="O604" s="217">
        <f>O605+O608</f>
        <v>0</v>
      </c>
      <c r="P604" s="217"/>
      <c r="Q604" s="217">
        <f t="shared" ref="Q604:U604" si="475">Q605+Q608</f>
        <v>900000</v>
      </c>
      <c r="R604" s="217">
        <f t="shared" si="475"/>
        <v>0</v>
      </c>
      <c r="S604" s="217">
        <f t="shared" si="475"/>
        <v>0</v>
      </c>
      <c r="T604" s="217">
        <f t="shared" si="475"/>
        <v>0</v>
      </c>
      <c r="U604" s="217">
        <f t="shared" si="475"/>
        <v>0</v>
      </c>
      <c r="V604" s="214"/>
      <c r="W604" s="283"/>
    </row>
    <row r="605" spans="1:23" x14ac:dyDescent="0.25">
      <c r="A605" s="234"/>
      <c r="B605" s="219" t="s">
        <v>600</v>
      </c>
      <c r="C605" s="219" t="s">
        <v>360</v>
      </c>
      <c r="D605" s="218"/>
      <c r="E605" s="277" t="s">
        <v>361</v>
      </c>
      <c r="F605" s="277"/>
      <c r="G605" s="220"/>
      <c r="H605" s="220"/>
      <c r="I605" s="221">
        <f>SUM(I606:I607)</f>
        <v>315000</v>
      </c>
      <c r="J605" s="221">
        <f>SUM(J606:J607)</f>
        <v>0</v>
      </c>
      <c r="K605" s="221">
        <f>SUM(K606:K607)</f>
        <v>315000</v>
      </c>
      <c r="L605" s="221"/>
      <c r="M605" s="221"/>
      <c r="N605" s="221">
        <f>SUM(N606:N607)</f>
        <v>315000</v>
      </c>
      <c r="O605" s="221">
        <f>SUM(O606:O607)</f>
        <v>0</v>
      </c>
      <c r="P605" s="221"/>
      <c r="Q605" s="221">
        <f t="shared" ref="Q605:U605" si="476">SUM(Q606:Q607)</f>
        <v>315000</v>
      </c>
      <c r="R605" s="221">
        <f t="shared" si="476"/>
        <v>0</v>
      </c>
      <c r="S605" s="221">
        <f t="shared" si="476"/>
        <v>0</v>
      </c>
      <c r="T605" s="221">
        <f t="shared" si="476"/>
        <v>0</v>
      </c>
      <c r="U605" s="221">
        <f t="shared" si="476"/>
        <v>0</v>
      </c>
      <c r="V605" s="218"/>
      <c r="W605" s="283"/>
    </row>
    <row r="606" spans="1:23" x14ac:dyDescent="0.25">
      <c r="A606" s="233"/>
      <c r="B606" s="223" t="s">
        <v>600</v>
      </c>
      <c r="C606" s="223" t="s">
        <v>366</v>
      </c>
      <c r="D606" s="222"/>
      <c r="E606" s="258" t="s">
        <v>367</v>
      </c>
      <c r="F606" s="258"/>
      <c r="G606" s="224"/>
      <c r="H606" s="224"/>
      <c r="I606" s="225">
        <v>75000</v>
      </c>
      <c r="J606" s="225">
        <v>0</v>
      </c>
      <c r="K606" s="225">
        <f>[1]Nov!I645</f>
        <v>75000</v>
      </c>
      <c r="L606" s="225"/>
      <c r="M606" s="225"/>
      <c r="N606" s="225">
        <f t="shared" ref="N606:N607" si="477">J606+K606</f>
        <v>75000</v>
      </c>
      <c r="O606" s="225">
        <f t="shared" ref="O606:O607" si="478">I606-N606</f>
        <v>0</v>
      </c>
      <c r="P606" s="225"/>
      <c r="Q606" s="225">
        <f>N606</f>
        <v>75000</v>
      </c>
      <c r="R606" s="225"/>
      <c r="S606" s="225"/>
      <c r="T606" s="225"/>
      <c r="U606" s="225"/>
      <c r="V606" s="222"/>
      <c r="W606" s="283"/>
    </row>
    <row r="607" spans="1:23" ht="30" x14ac:dyDescent="0.25">
      <c r="A607" s="233"/>
      <c r="B607" s="223" t="s">
        <v>600</v>
      </c>
      <c r="C607" s="223" t="s">
        <v>368</v>
      </c>
      <c r="D607" s="222"/>
      <c r="E607" s="258" t="s">
        <v>369</v>
      </c>
      <c r="F607" s="258"/>
      <c r="G607" s="224"/>
      <c r="H607" s="224"/>
      <c r="I607" s="225">
        <v>240000</v>
      </c>
      <c r="J607" s="225">
        <v>0</v>
      </c>
      <c r="K607" s="225">
        <f>[1]Nov!I646</f>
        <v>240000</v>
      </c>
      <c r="L607" s="225"/>
      <c r="M607" s="225"/>
      <c r="N607" s="225">
        <f t="shared" si="477"/>
        <v>240000</v>
      </c>
      <c r="O607" s="225">
        <f t="shared" si="478"/>
        <v>0</v>
      </c>
      <c r="P607" s="225"/>
      <c r="Q607" s="225">
        <f>N607</f>
        <v>240000</v>
      </c>
      <c r="R607" s="225"/>
      <c r="S607" s="225"/>
      <c r="T607" s="225"/>
      <c r="U607" s="225"/>
      <c r="V607" s="222"/>
      <c r="W607" s="281"/>
    </row>
    <row r="608" spans="1:23" x14ac:dyDescent="0.25">
      <c r="A608" s="234"/>
      <c r="B608" s="219" t="s">
        <v>600</v>
      </c>
      <c r="C608" s="219" t="s">
        <v>370</v>
      </c>
      <c r="D608" s="218"/>
      <c r="E608" s="277" t="s">
        <v>81</v>
      </c>
      <c r="F608" s="277"/>
      <c r="G608" s="220"/>
      <c r="H608" s="220"/>
      <c r="I608" s="221">
        <f>SUM(I609:I610)</f>
        <v>585000</v>
      </c>
      <c r="J608" s="221">
        <f>SUM(J609:J610)</f>
        <v>0</v>
      </c>
      <c r="K608" s="221">
        <f>SUM(K609:K610)</f>
        <v>585000</v>
      </c>
      <c r="L608" s="221"/>
      <c r="M608" s="221"/>
      <c r="N608" s="221">
        <f>SUM(N609:N610)</f>
        <v>585000</v>
      </c>
      <c r="O608" s="221">
        <f>SUM(O609:O610)</f>
        <v>0</v>
      </c>
      <c r="P608" s="221"/>
      <c r="Q608" s="221">
        <f t="shared" ref="Q608:U608" si="479">SUM(Q609:Q610)</f>
        <v>585000</v>
      </c>
      <c r="R608" s="221">
        <f t="shared" si="479"/>
        <v>0</v>
      </c>
      <c r="S608" s="221">
        <f t="shared" si="479"/>
        <v>0</v>
      </c>
      <c r="T608" s="221">
        <f t="shared" si="479"/>
        <v>0</v>
      </c>
      <c r="U608" s="221">
        <f t="shared" si="479"/>
        <v>0</v>
      </c>
      <c r="V608" s="218"/>
      <c r="W608" s="281"/>
    </row>
    <row r="609" spans="1:23" ht="30" x14ac:dyDescent="0.25">
      <c r="A609" s="233"/>
      <c r="B609" s="223" t="s">
        <v>600</v>
      </c>
      <c r="C609" s="223" t="s">
        <v>476</v>
      </c>
      <c r="D609" s="222"/>
      <c r="E609" s="258" t="s">
        <v>477</v>
      </c>
      <c r="F609" s="258"/>
      <c r="G609" s="224"/>
      <c r="H609" s="224"/>
      <c r="I609" s="225">
        <v>450000</v>
      </c>
      <c r="J609" s="225">
        <v>0</v>
      </c>
      <c r="K609" s="225">
        <f>[1]Nov!I648</f>
        <v>450000</v>
      </c>
      <c r="L609" s="225"/>
      <c r="M609" s="225"/>
      <c r="N609" s="225">
        <f t="shared" ref="N609:N610" si="480">J609+K609</f>
        <v>450000</v>
      </c>
      <c r="O609" s="225">
        <f t="shared" ref="O609:O610" si="481">I609-N609</f>
        <v>0</v>
      </c>
      <c r="P609" s="225"/>
      <c r="Q609" s="225">
        <f>N609</f>
        <v>450000</v>
      </c>
      <c r="R609" s="225"/>
      <c r="S609" s="225"/>
      <c r="T609" s="225"/>
      <c r="U609" s="225"/>
      <c r="V609" s="222"/>
      <c r="W609" s="281"/>
    </row>
    <row r="610" spans="1:23" ht="30" x14ac:dyDescent="0.25">
      <c r="A610" s="243"/>
      <c r="B610" s="244" t="s">
        <v>600</v>
      </c>
      <c r="C610" s="244" t="s">
        <v>478</v>
      </c>
      <c r="D610" s="245"/>
      <c r="E610" s="295" t="s">
        <v>479</v>
      </c>
      <c r="F610" s="295"/>
      <c r="G610" s="246"/>
      <c r="H610" s="246"/>
      <c r="I610" s="247">
        <v>135000</v>
      </c>
      <c r="J610" s="247">
        <v>0</v>
      </c>
      <c r="K610" s="225">
        <f>[1]Nov!I649</f>
        <v>135000</v>
      </c>
      <c r="L610" s="247"/>
      <c r="M610" s="247"/>
      <c r="N610" s="247">
        <f t="shared" si="480"/>
        <v>135000</v>
      </c>
      <c r="O610" s="247">
        <f t="shared" si="481"/>
        <v>0</v>
      </c>
      <c r="P610" s="247"/>
      <c r="Q610" s="225">
        <f>N610</f>
        <v>135000</v>
      </c>
      <c r="R610" s="247"/>
      <c r="S610" s="247"/>
      <c r="T610" s="247"/>
      <c r="U610" s="247"/>
      <c r="V610" s="245"/>
      <c r="W610" s="282"/>
    </row>
    <row r="611" spans="1:23" x14ac:dyDescent="0.25">
      <c r="A611" s="233"/>
      <c r="B611" s="223"/>
      <c r="C611" s="223"/>
      <c r="D611" s="222"/>
      <c r="E611" s="258"/>
      <c r="F611" s="258"/>
      <c r="G611" s="224"/>
      <c r="H611" s="224"/>
      <c r="I611" s="225"/>
      <c r="J611" s="225"/>
      <c r="K611" s="225"/>
      <c r="L611" s="225"/>
      <c r="M611" s="225"/>
      <c r="N611" s="225"/>
      <c r="O611" s="225"/>
      <c r="P611" s="225"/>
      <c r="Q611" s="225"/>
      <c r="R611" s="225"/>
      <c r="S611" s="225"/>
      <c r="T611" s="225"/>
      <c r="U611" s="225"/>
      <c r="V611" s="222"/>
      <c r="W611" s="282"/>
    </row>
    <row r="612" spans="1:23" x14ac:dyDescent="0.25">
      <c r="A612" s="249"/>
      <c r="B612" s="250" t="s">
        <v>602</v>
      </c>
      <c r="C612" s="249"/>
      <c r="D612" s="252" t="s">
        <v>117</v>
      </c>
      <c r="E612" s="296"/>
      <c r="F612" s="296"/>
      <c r="G612" s="251"/>
      <c r="H612" s="251"/>
      <c r="I612" s="253">
        <f>I613+I625+I636</f>
        <v>24400000</v>
      </c>
      <c r="J612" s="253">
        <f>J613+J625+J636</f>
        <v>18565000</v>
      </c>
      <c r="K612" s="253">
        <f>K613+K625+K636</f>
        <v>5835000</v>
      </c>
      <c r="L612" s="253"/>
      <c r="M612" s="253"/>
      <c r="N612" s="253">
        <f>N613+N625+N636</f>
        <v>24400000</v>
      </c>
      <c r="O612" s="253">
        <f>O613+O625+O636</f>
        <v>0</v>
      </c>
      <c r="P612" s="253"/>
      <c r="Q612" s="253">
        <f>Q613+Q625+Q636</f>
        <v>11385000</v>
      </c>
      <c r="R612" s="253">
        <f>R613+R625+R636</f>
        <v>0</v>
      </c>
      <c r="S612" s="253">
        <f>S613+S625+S636</f>
        <v>13015000</v>
      </c>
      <c r="T612" s="253">
        <f>T613+T625+T636</f>
        <v>0</v>
      </c>
      <c r="U612" s="253">
        <f>U613+U625+U636</f>
        <v>0</v>
      </c>
      <c r="V612" s="251"/>
      <c r="W612" s="282"/>
    </row>
    <row r="613" spans="1:23" ht="30" x14ac:dyDescent="0.25">
      <c r="A613" s="232"/>
      <c r="B613" s="215" t="s">
        <v>603</v>
      </c>
      <c r="C613" s="232"/>
      <c r="D613" s="214"/>
      <c r="E613" s="236" t="s">
        <v>604</v>
      </c>
      <c r="F613" s="236" t="s">
        <v>733</v>
      </c>
      <c r="G613" s="216"/>
      <c r="H613" s="216"/>
      <c r="I613" s="217">
        <f>I614</f>
        <v>5835000</v>
      </c>
      <c r="J613" s="217">
        <f>J614</f>
        <v>0</v>
      </c>
      <c r="K613" s="217">
        <f>K614</f>
        <v>5835000</v>
      </c>
      <c r="L613" s="217"/>
      <c r="M613" s="217"/>
      <c r="N613" s="217">
        <f>N614</f>
        <v>5835000</v>
      </c>
      <c r="O613" s="217">
        <f>O614</f>
        <v>0</v>
      </c>
      <c r="P613" s="217"/>
      <c r="Q613" s="217">
        <f t="shared" ref="Q613:U613" si="482">Q614</f>
        <v>5835000</v>
      </c>
      <c r="R613" s="217">
        <f t="shared" si="482"/>
        <v>0</v>
      </c>
      <c r="S613" s="217">
        <f t="shared" si="482"/>
        <v>0</v>
      </c>
      <c r="T613" s="217">
        <f t="shared" si="482"/>
        <v>0</v>
      </c>
      <c r="U613" s="217">
        <f t="shared" si="482"/>
        <v>0</v>
      </c>
      <c r="V613" s="214"/>
      <c r="W613" s="283"/>
    </row>
    <row r="614" spans="1:23" x14ac:dyDescent="0.25">
      <c r="A614" s="232"/>
      <c r="B614" s="215" t="s">
        <v>603</v>
      </c>
      <c r="C614" s="215" t="s">
        <v>359</v>
      </c>
      <c r="D614" s="214"/>
      <c r="E614" s="216" t="s">
        <v>67</v>
      </c>
      <c r="F614" s="236"/>
      <c r="G614" s="216"/>
      <c r="H614" s="216"/>
      <c r="I614" s="217">
        <f>I615+I618+I621</f>
        <v>5835000</v>
      </c>
      <c r="J614" s="217">
        <f>J615+J618+J621</f>
        <v>0</v>
      </c>
      <c r="K614" s="217">
        <f>K615+K618+K621</f>
        <v>5835000</v>
      </c>
      <c r="L614" s="217"/>
      <c r="M614" s="217"/>
      <c r="N614" s="217">
        <f>N615+N618+N621</f>
        <v>5835000</v>
      </c>
      <c r="O614" s="217">
        <f>O615+O618+O621</f>
        <v>0</v>
      </c>
      <c r="P614" s="217"/>
      <c r="Q614" s="217">
        <f t="shared" ref="Q614:U614" si="483">Q615+Q618+Q621</f>
        <v>5835000</v>
      </c>
      <c r="R614" s="217">
        <f t="shared" si="483"/>
        <v>0</v>
      </c>
      <c r="S614" s="217">
        <f t="shared" si="483"/>
        <v>0</v>
      </c>
      <c r="T614" s="217">
        <f t="shared" si="483"/>
        <v>0</v>
      </c>
      <c r="U614" s="217">
        <f t="shared" si="483"/>
        <v>0</v>
      </c>
      <c r="V614" s="214"/>
      <c r="W614" s="283"/>
    </row>
    <row r="615" spans="1:23" x14ac:dyDescent="0.25">
      <c r="A615" s="234"/>
      <c r="B615" s="219" t="s">
        <v>603</v>
      </c>
      <c r="C615" s="219" t="s">
        <v>360</v>
      </c>
      <c r="D615" s="218"/>
      <c r="E615" s="220" t="s">
        <v>361</v>
      </c>
      <c r="F615" s="277"/>
      <c r="G615" s="220"/>
      <c r="H615" s="220"/>
      <c r="I615" s="221">
        <f>SUM(I616:I617)</f>
        <v>5835000</v>
      </c>
      <c r="J615" s="221">
        <f>SUM(J616:J617)</f>
        <v>0</v>
      </c>
      <c r="K615" s="221">
        <f>SUM(K616:K617)</f>
        <v>5835000</v>
      </c>
      <c r="L615" s="221"/>
      <c r="M615" s="221"/>
      <c r="N615" s="221">
        <f>SUM(N616:N617)</f>
        <v>5835000</v>
      </c>
      <c r="O615" s="221">
        <f>SUM(O616:O617)</f>
        <v>0</v>
      </c>
      <c r="P615" s="221"/>
      <c r="Q615" s="221">
        <f t="shared" ref="Q615:U615" si="484">SUM(Q616:Q617)</f>
        <v>5835000</v>
      </c>
      <c r="R615" s="221">
        <f t="shared" si="484"/>
        <v>0</v>
      </c>
      <c r="S615" s="221">
        <f t="shared" si="484"/>
        <v>0</v>
      </c>
      <c r="T615" s="221">
        <f t="shared" si="484"/>
        <v>0</v>
      </c>
      <c r="U615" s="221">
        <f t="shared" si="484"/>
        <v>0</v>
      </c>
      <c r="V615" s="218"/>
      <c r="W615" s="283"/>
    </row>
    <row r="616" spans="1:23" x14ac:dyDescent="0.25">
      <c r="A616" s="233"/>
      <c r="B616" s="223" t="s">
        <v>603</v>
      </c>
      <c r="C616" s="223" t="s">
        <v>366</v>
      </c>
      <c r="D616" s="222"/>
      <c r="E616" s="224" t="s">
        <v>367</v>
      </c>
      <c r="F616" s="258"/>
      <c r="G616" s="224"/>
      <c r="H616" s="224"/>
      <c r="I616" s="225">
        <v>75000</v>
      </c>
      <c r="J616" s="225">
        <v>0</v>
      </c>
      <c r="K616" s="225">
        <f>[1]Nov!I655</f>
        <v>75000</v>
      </c>
      <c r="L616" s="225"/>
      <c r="M616" s="225"/>
      <c r="N616" s="225">
        <f t="shared" ref="N616:N617" si="485">J616+K616</f>
        <v>75000</v>
      </c>
      <c r="O616" s="225">
        <f t="shared" ref="O616:O617" si="486">I616-N616</f>
        <v>0</v>
      </c>
      <c r="P616" s="225"/>
      <c r="Q616" s="225">
        <f>N616</f>
        <v>75000</v>
      </c>
      <c r="R616" s="225"/>
      <c r="S616" s="225"/>
      <c r="T616" s="225"/>
      <c r="U616" s="225"/>
      <c r="V616" s="222"/>
      <c r="W616" s="281"/>
    </row>
    <row r="617" spans="1:23" x14ac:dyDescent="0.25">
      <c r="A617" s="233"/>
      <c r="B617" s="223" t="s">
        <v>603</v>
      </c>
      <c r="C617" s="223" t="s">
        <v>368</v>
      </c>
      <c r="D617" s="222"/>
      <c r="E617" s="224" t="s">
        <v>369</v>
      </c>
      <c r="F617" s="258"/>
      <c r="G617" s="224"/>
      <c r="H617" s="224"/>
      <c r="I617" s="225">
        <v>5760000</v>
      </c>
      <c r="J617" s="225">
        <v>0</v>
      </c>
      <c r="K617" s="225">
        <f>[1]Nov!I656</f>
        <v>5760000</v>
      </c>
      <c r="L617" s="225"/>
      <c r="M617" s="225"/>
      <c r="N617" s="225">
        <f t="shared" si="485"/>
        <v>5760000</v>
      </c>
      <c r="O617" s="225">
        <f t="shared" si="486"/>
        <v>0</v>
      </c>
      <c r="P617" s="225"/>
      <c r="Q617" s="225">
        <f>N617</f>
        <v>5760000</v>
      </c>
      <c r="R617" s="225"/>
      <c r="S617" s="225"/>
      <c r="T617" s="225"/>
      <c r="U617" s="225"/>
      <c r="V617" s="222"/>
      <c r="W617" s="285"/>
    </row>
    <row r="618" spans="1:23" x14ac:dyDescent="0.25">
      <c r="A618" s="234"/>
      <c r="B618" s="219" t="s">
        <v>603</v>
      </c>
      <c r="C618" s="219" t="s">
        <v>370</v>
      </c>
      <c r="D618" s="218"/>
      <c r="E618" s="220" t="s">
        <v>81</v>
      </c>
      <c r="F618" s="277"/>
      <c r="G618" s="220"/>
      <c r="H618" s="220"/>
      <c r="I618" s="221">
        <f>SUM(I619:I620)</f>
        <v>0</v>
      </c>
      <c r="J618" s="221">
        <f>SUM(J619:J620)</f>
        <v>0</v>
      </c>
      <c r="K618" s="221">
        <f>SUM(K619:K620)</f>
        <v>0</v>
      </c>
      <c r="L618" s="221"/>
      <c r="M618" s="221"/>
      <c r="N618" s="221">
        <f>SUM(N619:N620)</f>
        <v>0</v>
      </c>
      <c r="O618" s="221">
        <f>SUM(O619:O620)</f>
        <v>0</v>
      </c>
      <c r="P618" s="221"/>
      <c r="Q618" s="221"/>
      <c r="R618" s="221"/>
      <c r="S618" s="221"/>
      <c r="T618" s="221"/>
      <c r="U618" s="221"/>
      <c r="V618" s="218"/>
      <c r="W618" s="285"/>
    </row>
    <row r="619" spans="1:23" ht="30" x14ac:dyDescent="0.25">
      <c r="A619" s="233"/>
      <c r="B619" s="223" t="s">
        <v>603</v>
      </c>
      <c r="C619" s="223" t="s">
        <v>476</v>
      </c>
      <c r="D619" s="222"/>
      <c r="E619" s="258" t="s">
        <v>477</v>
      </c>
      <c r="F619" s="258"/>
      <c r="G619" s="224"/>
      <c r="H619" s="224"/>
      <c r="I619" s="225">
        <v>0</v>
      </c>
      <c r="J619" s="225">
        <v>0</v>
      </c>
      <c r="K619" s="225">
        <f>[1]Nov!I658</f>
        <v>0</v>
      </c>
      <c r="L619" s="225"/>
      <c r="M619" s="225"/>
      <c r="N619" s="225">
        <f t="shared" ref="N619:N620" si="487">J619+K619</f>
        <v>0</v>
      </c>
      <c r="O619" s="225">
        <f t="shared" ref="O619:O620" si="488">I619-N619</f>
        <v>0</v>
      </c>
      <c r="P619" s="225"/>
      <c r="Q619" s="225"/>
      <c r="R619" s="225"/>
      <c r="S619" s="225"/>
      <c r="T619" s="225"/>
      <c r="U619" s="225"/>
      <c r="V619" s="222"/>
      <c r="W619" s="286"/>
    </row>
    <row r="620" spans="1:23" ht="30" x14ac:dyDescent="0.25">
      <c r="A620" s="233"/>
      <c r="B620" s="223" t="s">
        <v>603</v>
      </c>
      <c r="C620" s="223" t="s">
        <v>478</v>
      </c>
      <c r="D620" s="222"/>
      <c r="E620" s="258" t="s">
        <v>479</v>
      </c>
      <c r="F620" s="258"/>
      <c r="G620" s="224"/>
      <c r="H620" s="224"/>
      <c r="I620" s="225">
        <v>0</v>
      </c>
      <c r="J620" s="225">
        <v>0</v>
      </c>
      <c r="K620" s="225">
        <f>[1]Nov!I659</f>
        <v>0</v>
      </c>
      <c r="L620" s="225"/>
      <c r="M620" s="225"/>
      <c r="N620" s="225">
        <f t="shared" si="487"/>
        <v>0</v>
      </c>
      <c r="O620" s="225">
        <f t="shared" si="488"/>
        <v>0</v>
      </c>
      <c r="P620" s="225"/>
      <c r="Q620" s="225"/>
      <c r="R620" s="225"/>
      <c r="S620" s="225"/>
      <c r="T620" s="225"/>
      <c r="U620" s="225"/>
      <c r="V620" s="222"/>
    </row>
    <row r="621" spans="1:23" ht="28.5" x14ac:dyDescent="0.25">
      <c r="A621" s="234"/>
      <c r="B621" s="219" t="s">
        <v>603</v>
      </c>
      <c r="C621" s="219" t="s">
        <v>460</v>
      </c>
      <c r="D621" s="218"/>
      <c r="E621" s="277" t="s">
        <v>461</v>
      </c>
      <c r="F621" s="277"/>
      <c r="G621" s="220"/>
      <c r="H621" s="220"/>
      <c r="I621" s="221">
        <f>SUM(I622:I623)</f>
        <v>0</v>
      </c>
      <c r="J621" s="221">
        <f>SUM(J622:J623)</f>
        <v>0</v>
      </c>
      <c r="K621" s="221">
        <f>SUM(K622:K623)</f>
        <v>0</v>
      </c>
      <c r="L621" s="221"/>
      <c r="M621" s="221"/>
      <c r="N621" s="221">
        <f>SUM(N622:N623)</f>
        <v>0</v>
      </c>
      <c r="O621" s="221">
        <f>SUM(O622:O623)</f>
        <v>0</v>
      </c>
      <c r="P621" s="221"/>
      <c r="Q621" s="221"/>
      <c r="R621" s="221"/>
      <c r="S621" s="221"/>
      <c r="T621" s="221"/>
      <c r="U621" s="221"/>
      <c r="V621" s="218"/>
    </row>
    <row r="622" spans="1:23" ht="45" x14ac:dyDescent="0.25">
      <c r="A622" s="233"/>
      <c r="B622" s="223" t="s">
        <v>603</v>
      </c>
      <c r="C622" s="223" t="s">
        <v>605</v>
      </c>
      <c r="D622" s="222"/>
      <c r="E622" s="258" t="s">
        <v>606</v>
      </c>
      <c r="F622" s="258"/>
      <c r="G622" s="258"/>
      <c r="H622" s="258"/>
      <c r="I622" s="225">
        <v>0</v>
      </c>
      <c r="J622" s="225">
        <v>0</v>
      </c>
      <c r="K622" s="225">
        <f>[1]Nov!I661</f>
        <v>0</v>
      </c>
      <c r="L622" s="225"/>
      <c r="M622" s="225"/>
      <c r="N622" s="225">
        <f t="shared" ref="N622:N623" si="489">J622+K622</f>
        <v>0</v>
      </c>
      <c r="O622" s="225">
        <f t="shared" ref="O622:O623" si="490">I622-N622</f>
        <v>0</v>
      </c>
      <c r="P622" s="225"/>
      <c r="Q622" s="225"/>
      <c r="R622" s="225"/>
      <c r="S622" s="225"/>
      <c r="T622" s="225"/>
      <c r="U622" s="225"/>
      <c r="V622" s="222"/>
    </row>
    <row r="623" spans="1:23" ht="30" x14ac:dyDescent="0.25">
      <c r="A623" s="233"/>
      <c r="B623" s="223" t="s">
        <v>603</v>
      </c>
      <c r="C623" s="223" t="s">
        <v>462</v>
      </c>
      <c r="D623" s="222"/>
      <c r="E623" s="258" t="s">
        <v>463</v>
      </c>
      <c r="F623" s="258"/>
      <c r="G623" s="224"/>
      <c r="H623" s="224"/>
      <c r="I623" s="225">
        <v>0</v>
      </c>
      <c r="J623" s="225">
        <v>0</v>
      </c>
      <c r="K623" s="225">
        <f>[1]Nov!I662</f>
        <v>0</v>
      </c>
      <c r="L623" s="225"/>
      <c r="M623" s="225"/>
      <c r="N623" s="225">
        <f t="shared" si="489"/>
        <v>0</v>
      </c>
      <c r="O623" s="225">
        <f t="shared" si="490"/>
        <v>0</v>
      </c>
      <c r="P623" s="225"/>
      <c r="Q623" s="225"/>
      <c r="R623" s="225"/>
      <c r="S623" s="225"/>
      <c r="T623" s="225"/>
      <c r="U623" s="225"/>
      <c r="V623" s="222"/>
    </row>
    <row r="624" spans="1:23" x14ac:dyDescent="0.25">
      <c r="A624" s="233"/>
      <c r="B624" s="223"/>
      <c r="C624" s="223"/>
      <c r="D624" s="222"/>
      <c r="E624" s="224"/>
      <c r="F624" s="258"/>
      <c r="G624" s="224"/>
      <c r="H624" s="224"/>
      <c r="I624" s="225"/>
      <c r="J624" s="225"/>
      <c r="K624" s="225"/>
      <c r="L624" s="225"/>
      <c r="M624" s="225"/>
      <c r="N624" s="225"/>
      <c r="O624" s="225"/>
      <c r="P624" s="225"/>
      <c r="Q624" s="225"/>
      <c r="R624" s="225"/>
      <c r="S624" s="225"/>
      <c r="T624" s="225"/>
      <c r="U624" s="225"/>
      <c r="V624" s="222"/>
    </row>
    <row r="625" spans="1:23" ht="41.25" customHeight="1" x14ac:dyDescent="0.25">
      <c r="A625" s="233"/>
      <c r="B625" s="215" t="s">
        <v>607</v>
      </c>
      <c r="C625" s="232"/>
      <c r="D625" s="214"/>
      <c r="E625" s="236" t="s">
        <v>608</v>
      </c>
      <c r="F625" s="236" t="s">
        <v>734</v>
      </c>
      <c r="G625" s="216"/>
      <c r="H625" s="216"/>
      <c r="I625" s="217">
        <f>I626</f>
        <v>13015000</v>
      </c>
      <c r="J625" s="217">
        <f>J626</f>
        <v>13015000</v>
      </c>
      <c r="K625" s="217">
        <f>K626</f>
        <v>0</v>
      </c>
      <c r="L625" s="217"/>
      <c r="M625" s="217"/>
      <c r="N625" s="217">
        <f>N626</f>
        <v>13015000</v>
      </c>
      <c r="O625" s="217">
        <f>O626</f>
        <v>0</v>
      </c>
      <c r="P625" s="217"/>
      <c r="Q625" s="217">
        <f t="shared" ref="Q625:U625" si="491">Q626</f>
        <v>0</v>
      </c>
      <c r="R625" s="217">
        <f t="shared" si="491"/>
        <v>0</v>
      </c>
      <c r="S625" s="217">
        <f t="shared" si="491"/>
        <v>13015000</v>
      </c>
      <c r="T625" s="217">
        <f t="shared" si="491"/>
        <v>0</v>
      </c>
      <c r="U625" s="217">
        <f t="shared" si="491"/>
        <v>0</v>
      </c>
      <c r="V625" s="222"/>
      <c r="W625" s="286"/>
    </row>
    <row r="626" spans="1:23" x14ac:dyDescent="0.25">
      <c r="A626" s="233"/>
      <c r="B626" s="215" t="s">
        <v>607</v>
      </c>
      <c r="C626" s="215" t="s">
        <v>359</v>
      </c>
      <c r="D626" s="214"/>
      <c r="E626" s="216" t="s">
        <v>67</v>
      </c>
      <c r="F626" s="236"/>
      <c r="G626" s="216"/>
      <c r="H626" s="216"/>
      <c r="I626" s="217">
        <f>I627+I632</f>
        <v>13015000</v>
      </c>
      <c r="J626" s="217">
        <f>J627+J632</f>
        <v>13015000</v>
      </c>
      <c r="K626" s="217">
        <f>K627+K632</f>
        <v>0</v>
      </c>
      <c r="L626" s="217"/>
      <c r="M626" s="217"/>
      <c r="N626" s="217">
        <f>N627+N632</f>
        <v>13015000</v>
      </c>
      <c r="O626" s="217">
        <f>O627+O632</f>
        <v>0</v>
      </c>
      <c r="P626" s="217"/>
      <c r="Q626" s="217">
        <f>Q627+Q632</f>
        <v>0</v>
      </c>
      <c r="R626" s="217">
        <f>R627+R632</f>
        <v>0</v>
      </c>
      <c r="S626" s="217">
        <f>S627+S632</f>
        <v>13015000</v>
      </c>
      <c r="T626" s="217">
        <f>T627+T632</f>
        <v>0</v>
      </c>
      <c r="U626" s="217">
        <f>U627+U632</f>
        <v>0</v>
      </c>
      <c r="V626" s="222"/>
    </row>
    <row r="627" spans="1:23" x14ac:dyDescent="0.25">
      <c r="A627" s="233"/>
      <c r="B627" s="219" t="s">
        <v>607</v>
      </c>
      <c r="C627" s="219" t="s">
        <v>360</v>
      </c>
      <c r="D627" s="218"/>
      <c r="E627" s="220" t="s">
        <v>361</v>
      </c>
      <c r="F627" s="277"/>
      <c r="G627" s="220"/>
      <c r="H627" s="220"/>
      <c r="I627" s="221">
        <f>SUM(I628:I630)</f>
        <v>565000</v>
      </c>
      <c r="J627" s="221">
        <f>SUM(J628:J630)</f>
        <v>565000</v>
      </c>
      <c r="K627" s="221">
        <f>SUM(K628:K630)</f>
        <v>0</v>
      </c>
      <c r="L627" s="221"/>
      <c r="M627" s="221"/>
      <c r="N627" s="221">
        <f>SUM(N628:N630)</f>
        <v>565000</v>
      </c>
      <c r="O627" s="221">
        <f>SUM(O628:O630)</f>
        <v>0</v>
      </c>
      <c r="P627" s="221"/>
      <c r="Q627" s="221">
        <f t="shared" ref="Q627:U627" si="492">SUM(Q628:Q630)</f>
        <v>0</v>
      </c>
      <c r="R627" s="221">
        <f t="shared" si="492"/>
        <v>0</v>
      </c>
      <c r="S627" s="221">
        <f t="shared" si="492"/>
        <v>565000</v>
      </c>
      <c r="T627" s="221">
        <f t="shared" si="492"/>
        <v>0</v>
      </c>
      <c r="U627" s="221">
        <f t="shared" si="492"/>
        <v>0</v>
      </c>
      <c r="V627" s="222"/>
    </row>
    <row r="628" spans="1:23" x14ac:dyDescent="0.25">
      <c r="A628" s="233"/>
      <c r="B628" s="223" t="s">
        <v>607</v>
      </c>
      <c r="C628" s="223" t="s">
        <v>362</v>
      </c>
      <c r="D628" s="222"/>
      <c r="E628" s="224" t="s">
        <v>363</v>
      </c>
      <c r="F628" s="258"/>
      <c r="G628" s="224"/>
      <c r="H628" s="224"/>
      <c r="I628" s="225">
        <v>55000</v>
      </c>
      <c r="J628" s="225">
        <v>55000</v>
      </c>
      <c r="K628" s="225">
        <f>[1]Nov!I667</f>
        <v>0</v>
      </c>
      <c r="L628" s="225"/>
      <c r="M628" s="225"/>
      <c r="N628" s="225">
        <f>J628+K628</f>
        <v>55000</v>
      </c>
      <c r="O628" s="225">
        <f t="shared" ref="O628:O630" si="493">I628-N628</f>
        <v>0</v>
      </c>
      <c r="P628" s="225"/>
      <c r="Q628" s="225"/>
      <c r="R628" s="225"/>
      <c r="S628" s="225">
        <f>N628</f>
        <v>55000</v>
      </c>
      <c r="T628" s="225"/>
      <c r="U628" s="225"/>
      <c r="V628" s="222"/>
    </row>
    <row r="629" spans="1:23" x14ac:dyDescent="0.25">
      <c r="A629" s="233"/>
      <c r="B629" s="223" t="s">
        <v>607</v>
      </c>
      <c r="C629" s="223" t="s">
        <v>366</v>
      </c>
      <c r="D629" s="222"/>
      <c r="E629" s="224" t="s">
        <v>367</v>
      </c>
      <c r="F629" s="258"/>
      <c r="G629" s="224"/>
      <c r="H629" s="224"/>
      <c r="I629" s="225">
        <v>60000</v>
      </c>
      <c r="J629" s="225">
        <v>60000</v>
      </c>
      <c r="K629" s="225">
        <f>[1]Nov!I668</f>
        <v>0</v>
      </c>
      <c r="L629" s="225"/>
      <c r="M629" s="225"/>
      <c r="N629" s="225">
        <f>J629+K629</f>
        <v>60000</v>
      </c>
      <c r="O629" s="225">
        <f t="shared" si="493"/>
        <v>0</v>
      </c>
      <c r="P629" s="225"/>
      <c r="Q629" s="225"/>
      <c r="R629" s="225"/>
      <c r="S629" s="225">
        <f>N629</f>
        <v>60000</v>
      </c>
      <c r="T629" s="225"/>
      <c r="U629" s="225"/>
      <c r="V629" s="222"/>
      <c r="W629" s="285"/>
    </row>
    <row r="630" spans="1:23" x14ac:dyDescent="0.25">
      <c r="A630" s="233"/>
      <c r="B630" s="223" t="s">
        <v>607</v>
      </c>
      <c r="C630" s="223" t="s">
        <v>368</v>
      </c>
      <c r="D630" s="222"/>
      <c r="E630" s="224" t="s">
        <v>369</v>
      </c>
      <c r="F630" s="258"/>
      <c r="G630" s="224"/>
      <c r="H630" s="224"/>
      <c r="I630" s="225">
        <v>450000</v>
      </c>
      <c r="J630" s="225">
        <v>450000</v>
      </c>
      <c r="K630" s="225">
        <f>[1]Nov!I669</f>
        <v>0</v>
      </c>
      <c r="L630" s="225"/>
      <c r="M630" s="225"/>
      <c r="N630" s="225">
        <f>J630+K630</f>
        <v>450000</v>
      </c>
      <c r="O630" s="225">
        <f t="shared" si="493"/>
        <v>0</v>
      </c>
      <c r="P630" s="225"/>
      <c r="Q630" s="225"/>
      <c r="R630" s="225"/>
      <c r="S630" s="225">
        <f>N630</f>
        <v>450000</v>
      </c>
      <c r="T630" s="225"/>
      <c r="U630" s="225"/>
      <c r="V630" s="222"/>
      <c r="W630" s="285"/>
    </row>
    <row r="631" spans="1:23" x14ac:dyDescent="0.25">
      <c r="A631" s="233"/>
      <c r="B631" s="223"/>
      <c r="C631" s="223"/>
      <c r="D631" s="222"/>
      <c r="E631" s="224"/>
      <c r="F631" s="258"/>
      <c r="G631" s="224"/>
      <c r="H631" s="224"/>
      <c r="I631" s="225"/>
      <c r="J631" s="225"/>
      <c r="K631" s="225"/>
      <c r="L631" s="225"/>
      <c r="M631" s="225"/>
      <c r="N631" s="225"/>
      <c r="O631" s="225"/>
      <c r="P631" s="225"/>
      <c r="Q631" s="225"/>
      <c r="R631" s="225"/>
      <c r="S631" s="225"/>
      <c r="T631" s="225"/>
      <c r="U631" s="225"/>
      <c r="V631" s="222"/>
      <c r="W631" s="285"/>
    </row>
    <row r="632" spans="1:23" ht="28.5" x14ac:dyDescent="0.25">
      <c r="A632" s="233"/>
      <c r="B632" s="219" t="s">
        <v>607</v>
      </c>
      <c r="C632" s="219" t="s">
        <v>460</v>
      </c>
      <c r="D632" s="218"/>
      <c r="E632" s="277" t="s">
        <v>461</v>
      </c>
      <c r="F632" s="277"/>
      <c r="G632" s="220"/>
      <c r="H632" s="220"/>
      <c r="I632" s="221">
        <f>SUM(I633:I634)</f>
        <v>12450000</v>
      </c>
      <c r="J632" s="221">
        <f>SUM(J633:J634)</f>
        <v>12450000</v>
      </c>
      <c r="K632" s="221">
        <f>SUM(K633:K634)</f>
        <v>0</v>
      </c>
      <c r="L632" s="221"/>
      <c r="M632" s="221"/>
      <c r="N632" s="221">
        <f>SUM(N633:N634)</f>
        <v>12450000</v>
      </c>
      <c r="O632" s="221">
        <f>SUM(O633:O634)</f>
        <v>0</v>
      </c>
      <c r="P632" s="221"/>
      <c r="Q632" s="221">
        <f t="shared" ref="Q632:U632" si="494">SUM(Q633:Q634)</f>
        <v>0</v>
      </c>
      <c r="R632" s="221">
        <f t="shared" si="494"/>
        <v>0</v>
      </c>
      <c r="S632" s="221">
        <f t="shared" si="494"/>
        <v>12450000</v>
      </c>
      <c r="T632" s="221">
        <f t="shared" si="494"/>
        <v>0</v>
      </c>
      <c r="U632" s="221">
        <f t="shared" si="494"/>
        <v>0</v>
      </c>
      <c r="V632" s="222"/>
    </row>
    <row r="633" spans="1:23" ht="30" x14ac:dyDescent="0.25">
      <c r="A633" s="233"/>
      <c r="B633" s="223" t="s">
        <v>607</v>
      </c>
      <c r="C633" s="223" t="s">
        <v>594</v>
      </c>
      <c r="D633" s="222"/>
      <c r="E633" s="258" t="s">
        <v>595</v>
      </c>
      <c r="F633" s="258"/>
      <c r="G633" s="224"/>
      <c r="H633" s="224"/>
      <c r="I633" s="225">
        <v>6450000</v>
      </c>
      <c r="J633" s="225">
        <v>6450000</v>
      </c>
      <c r="K633" s="225">
        <f>[1]Nov!I674</f>
        <v>0</v>
      </c>
      <c r="L633" s="225"/>
      <c r="M633" s="225"/>
      <c r="N633" s="225">
        <f>J633+K633</f>
        <v>6450000</v>
      </c>
      <c r="O633" s="225">
        <f t="shared" ref="O633:O634" si="495">I633-N633</f>
        <v>0</v>
      </c>
      <c r="P633" s="225"/>
      <c r="Q633" s="225"/>
      <c r="R633" s="225"/>
      <c r="S633" s="225">
        <f>N633</f>
        <v>6450000</v>
      </c>
      <c r="T633" s="225"/>
      <c r="U633" s="225"/>
      <c r="V633" s="222"/>
    </row>
    <row r="634" spans="1:23" ht="30" x14ac:dyDescent="0.25">
      <c r="A634" s="233"/>
      <c r="B634" s="223" t="s">
        <v>607</v>
      </c>
      <c r="C634" s="223" t="s">
        <v>462</v>
      </c>
      <c r="D634" s="222"/>
      <c r="E634" s="258" t="s">
        <v>479</v>
      </c>
      <c r="F634" s="258"/>
      <c r="G634" s="224"/>
      <c r="H634" s="224"/>
      <c r="I634" s="225">
        <v>6000000</v>
      </c>
      <c r="J634" s="225">
        <v>6000000</v>
      </c>
      <c r="K634" s="225">
        <f>[1]Nov!I675</f>
        <v>0</v>
      </c>
      <c r="L634" s="225"/>
      <c r="M634" s="225"/>
      <c r="N634" s="225">
        <f>J634+K634</f>
        <v>6000000</v>
      </c>
      <c r="O634" s="225">
        <f t="shared" si="495"/>
        <v>0</v>
      </c>
      <c r="P634" s="225"/>
      <c r="Q634" s="225"/>
      <c r="R634" s="225"/>
      <c r="S634" s="225">
        <f>N634</f>
        <v>6000000</v>
      </c>
      <c r="T634" s="225"/>
      <c r="U634" s="225"/>
      <c r="V634" s="222"/>
      <c r="W634" s="285"/>
    </row>
    <row r="635" spans="1:23" x14ac:dyDescent="0.25">
      <c r="A635" s="233"/>
      <c r="B635" s="223"/>
      <c r="C635" s="223"/>
      <c r="D635" s="222"/>
      <c r="E635" s="258"/>
      <c r="F635" s="258"/>
      <c r="G635" s="224"/>
      <c r="H635" s="224"/>
      <c r="I635" s="225"/>
      <c r="J635" s="225"/>
      <c r="K635" s="225"/>
      <c r="L635" s="225"/>
      <c r="M635" s="225"/>
      <c r="N635" s="225"/>
      <c r="O635" s="225"/>
      <c r="P635" s="225"/>
      <c r="Q635" s="225"/>
      <c r="R635" s="225"/>
      <c r="S635" s="225"/>
      <c r="T635" s="225"/>
      <c r="U635" s="225"/>
      <c r="V635" s="222"/>
      <c r="W635" s="285"/>
    </row>
    <row r="636" spans="1:23" ht="60" x14ac:dyDescent="0.25">
      <c r="A636" s="232"/>
      <c r="B636" s="215" t="s">
        <v>609</v>
      </c>
      <c r="C636" s="232"/>
      <c r="D636" s="214"/>
      <c r="E636" s="236" t="s">
        <v>610</v>
      </c>
      <c r="F636" s="236" t="s">
        <v>735</v>
      </c>
      <c r="G636" s="216"/>
      <c r="H636" s="216"/>
      <c r="I636" s="217">
        <f>I637</f>
        <v>5550000</v>
      </c>
      <c r="J636" s="217">
        <f>J637</f>
        <v>5550000</v>
      </c>
      <c r="K636" s="217">
        <f>K637</f>
        <v>0</v>
      </c>
      <c r="L636" s="217"/>
      <c r="M636" s="217"/>
      <c r="N636" s="217">
        <f>N637</f>
        <v>5550000</v>
      </c>
      <c r="O636" s="217">
        <f>O637</f>
        <v>0</v>
      </c>
      <c r="P636" s="217"/>
      <c r="Q636" s="217">
        <f t="shared" ref="Q636:U636" si="496">Q637</f>
        <v>5550000</v>
      </c>
      <c r="R636" s="217">
        <f t="shared" si="496"/>
        <v>0</v>
      </c>
      <c r="S636" s="217">
        <f t="shared" si="496"/>
        <v>0</v>
      </c>
      <c r="T636" s="217">
        <f t="shared" si="496"/>
        <v>0</v>
      </c>
      <c r="U636" s="217">
        <f t="shared" si="496"/>
        <v>0</v>
      </c>
      <c r="V636" s="214"/>
      <c r="W636" s="285"/>
    </row>
    <row r="637" spans="1:23" x14ac:dyDescent="0.25">
      <c r="A637" s="232"/>
      <c r="B637" s="215" t="s">
        <v>609</v>
      </c>
      <c r="C637" s="215" t="s">
        <v>359</v>
      </c>
      <c r="D637" s="214"/>
      <c r="E637" s="236" t="s">
        <v>67</v>
      </c>
      <c r="F637" s="236"/>
      <c r="G637" s="216"/>
      <c r="H637" s="216"/>
      <c r="I637" s="217">
        <f>I638+I641</f>
        <v>5550000</v>
      </c>
      <c r="J637" s="217">
        <f>J638+J641</f>
        <v>5550000</v>
      </c>
      <c r="K637" s="217">
        <f>K638+K641</f>
        <v>0</v>
      </c>
      <c r="L637" s="217"/>
      <c r="M637" s="217"/>
      <c r="N637" s="217">
        <f>N638+N641</f>
        <v>5550000</v>
      </c>
      <c r="O637" s="217">
        <f>O638+O641</f>
        <v>0</v>
      </c>
      <c r="P637" s="217"/>
      <c r="Q637" s="217">
        <f t="shared" ref="Q637:U637" si="497">Q638+Q641</f>
        <v>5550000</v>
      </c>
      <c r="R637" s="217">
        <f t="shared" si="497"/>
        <v>0</v>
      </c>
      <c r="S637" s="217">
        <f t="shared" si="497"/>
        <v>0</v>
      </c>
      <c r="T637" s="217">
        <f t="shared" si="497"/>
        <v>0</v>
      </c>
      <c r="U637" s="217">
        <f t="shared" si="497"/>
        <v>0</v>
      </c>
      <c r="V637" s="214"/>
      <c r="W637" s="286"/>
    </row>
    <row r="638" spans="1:23" x14ac:dyDescent="0.25">
      <c r="A638" s="234"/>
      <c r="B638" s="219" t="s">
        <v>609</v>
      </c>
      <c r="C638" s="219" t="s">
        <v>360</v>
      </c>
      <c r="D638" s="218"/>
      <c r="E638" s="277" t="s">
        <v>361</v>
      </c>
      <c r="F638" s="277"/>
      <c r="G638" s="220"/>
      <c r="H638" s="220"/>
      <c r="I638" s="221">
        <f>SUM(I639:I640)</f>
        <v>3000000</v>
      </c>
      <c r="J638" s="221">
        <f>SUM(J639:J640)</f>
        <v>3000000</v>
      </c>
      <c r="K638" s="221">
        <f>SUM(K639:K640)</f>
        <v>0</v>
      </c>
      <c r="L638" s="221"/>
      <c r="M638" s="221"/>
      <c r="N638" s="221">
        <f>SUM(N639:N640)</f>
        <v>3000000</v>
      </c>
      <c r="O638" s="221">
        <f>SUM(O639:O640)</f>
        <v>0</v>
      </c>
      <c r="P638" s="221"/>
      <c r="Q638" s="221">
        <f t="shared" ref="Q638:U638" si="498">SUM(Q639:Q640)</f>
        <v>3000000</v>
      </c>
      <c r="R638" s="221">
        <f t="shared" si="498"/>
        <v>0</v>
      </c>
      <c r="S638" s="221">
        <f t="shared" si="498"/>
        <v>0</v>
      </c>
      <c r="T638" s="221">
        <f t="shared" si="498"/>
        <v>0</v>
      </c>
      <c r="U638" s="221">
        <f t="shared" si="498"/>
        <v>0</v>
      </c>
      <c r="V638" s="218"/>
    </row>
    <row r="639" spans="1:23" x14ac:dyDescent="0.25">
      <c r="A639" s="233"/>
      <c r="B639" s="223" t="s">
        <v>609</v>
      </c>
      <c r="C639" s="223" t="s">
        <v>366</v>
      </c>
      <c r="D639" s="222"/>
      <c r="E639" s="258" t="s">
        <v>367</v>
      </c>
      <c r="F639" s="258"/>
      <c r="G639" s="224"/>
      <c r="H639" s="224"/>
      <c r="I639" s="225">
        <v>140000</v>
      </c>
      <c r="J639" s="225">
        <f>65000+75000</f>
        <v>140000</v>
      </c>
      <c r="K639" s="225">
        <f>[1]Nov!I680</f>
        <v>0</v>
      </c>
      <c r="L639" s="225"/>
      <c r="M639" s="225"/>
      <c r="N639" s="225">
        <f t="shared" ref="N639:N640" si="499">J639+K639</f>
        <v>140000</v>
      </c>
      <c r="O639" s="225">
        <f t="shared" ref="O639:O640" si="500">I639-N639</f>
        <v>0</v>
      </c>
      <c r="P639" s="225"/>
      <c r="Q639" s="225">
        <f>N639</f>
        <v>140000</v>
      </c>
      <c r="R639" s="225"/>
      <c r="S639" s="225"/>
      <c r="T639" s="225"/>
      <c r="U639" s="225"/>
      <c r="V639" s="222"/>
    </row>
    <row r="640" spans="1:23" ht="30" x14ac:dyDescent="0.25">
      <c r="A640" s="233"/>
      <c r="B640" s="223" t="s">
        <v>609</v>
      </c>
      <c r="C640" s="223" t="s">
        <v>368</v>
      </c>
      <c r="D640" s="222"/>
      <c r="E640" s="258" t="s">
        <v>369</v>
      </c>
      <c r="F640" s="258"/>
      <c r="G640" s="224"/>
      <c r="H640" s="224"/>
      <c r="I640" s="225">
        <v>2860000</v>
      </c>
      <c r="J640" s="225">
        <v>2860000</v>
      </c>
      <c r="K640" s="225">
        <f>[1]Nov!I681</f>
        <v>0</v>
      </c>
      <c r="L640" s="225"/>
      <c r="M640" s="225"/>
      <c r="N640" s="225">
        <f t="shared" si="499"/>
        <v>2860000</v>
      </c>
      <c r="O640" s="225">
        <f t="shared" si="500"/>
        <v>0</v>
      </c>
      <c r="P640" s="225"/>
      <c r="Q640" s="225">
        <f>N640</f>
        <v>2860000</v>
      </c>
      <c r="R640" s="225"/>
      <c r="S640" s="225"/>
      <c r="T640" s="225"/>
      <c r="U640" s="225"/>
      <c r="V640" s="222"/>
      <c r="W640" s="285"/>
    </row>
    <row r="641" spans="1:23" x14ac:dyDescent="0.25">
      <c r="A641" s="234"/>
      <c r="B641" s="219" t="s">
        <v>609</v>
      </c>
      <c r="C641" s="219" t="s">
        <v>370</v>
      </c>
      <c r="D641" s="218"/>
      <c r="E641" s="277" t="s">
        <v>81</v>
      </c>
      <c r="F641" s="277"/>
      <c r="G641" s="220"/>
      <c r="H641" s="220"/>
      <c r="I641" s="221">
        <f>SUM(I642:I643)</f>
        <v>2550000</v>
      </c>
      <c r="J641" s="221">
        <f>SUM(J642:J643)</f>
        <v>2550000</v>
      </c>
      <c r="K641" s="221">
        <f>SUM(K642:K643)</f>
        <v>0</v>
      </c>
      <c r="L641" s="221"/>
      <c r="M641" s="221"/>
      <c r="N641" s="221">
        <f>SUM(N642:N643)</f>
        <v>2550000</v>
      </c>
      <c r="O641" s="221">
        <f>SUM(O642:O643)</f>
        <v>0</v>
      </c>
      <c r="P641" s="221"/>
      <c r="Q641" s="221">
        <f t="shared" ref="Q641:U641" si="501">SUM(Q642:Q643)</f>
        <v>2550000</v>
      </c>
      <c r="R641" s="221">
        <f t="shared" si="501"/>
        <v>0</v>
      </c>
      <c r="S641" s="221">
        <f t="shared" si="501"/>
        <v>0</v>
      </c>
      <c r="T641" s="221">
        <f t="shared" si="501"/>
        <v>0</v>
      </c>
      <c r="U641" s="221">
        <f t="shared" si="501"/>
        <v>0</v>
      </c>
      <c r="V641" s="218"/>
      <c r="W641" s="285"/>
    </row>
    <row r="642" spans="1:23" ht="30" x14ac:dyDescent="0.25">
      <c r="A642" s="233"/>
      <c r="B642" s="223" t="s">
        <v>609</v>
      </c>
      <c r="C642" s="223" t="s">
        <v>476</v>
      </c>
      <c r="D642" s="222"/>
      <c r="E642" s="258" t="s">
        <v>477</v>
      </c>
      <c r="F642" s="258"/>
      <c r="G642" s="224"/>
      <c r="H642" s="224"/>
      <c r="I642" s="225">
        <v>450000</v>
      </c>
      <c r="J642" s="225">
        <v>450000</v>
      </c>
      <c r="K642" s="225">
        <f>[1]Nov!I683</f>
        <v>0</v>
      </c>
      <c r="L642" s="225"/>
      <c r="M642" s="225"/>
      <c r="N642" s="225">
        <f t="shared" ref="N642:N643" si="502">J642+K642</f>
        <v>450000</v>
      </c>
      <c r="O642" s="225">
        <f t="shared" ref="O642:O643" si="503">I642-N642</f>
        <v>0</v>
      </c>
      <c r="P642" s="225"/>
      <c r="Q642" s="225">
        <f>N642</f>
        <v>450000</v>
      </c>
      <c r="R642" s="225"/>
      <c r="S642" s="225"/>
      <c r="T642" s="225"/>
      <c r="U642" s="225"/>
      <c r="V642" s="222"/>
      <c r="W642" s="285"/>
    </row>
    <row r="643" spans="1:23" ht="30" x14ac:dyDescent="0.25">
      <c r="A643" s="233"/>
      <c r="B643" s="223" t="s">
        <v>609</v>
      </c>
      <c r="C643" s="223" t="s">
        <v>478</v>
      </c>
      <c r="D643" s="222"/>
      <c r="E643" s="258" t="s">
        <v>479</v>
      </c>
      <c r="F643" s="258"/>
      <c r="G643" s="224"/>
      <c r="H643" s="224"/>
      <c r="I643" s="225">
        <v>2100000</v>
      </c>
      <c r="J643" s="225">
        <v>2100000</v>
      </c>
      <c r="K643" s="225">
        <f>[1]Nov!I684</f>
        <v>0</v>
      </c>
      <c r="L643" s="225"/>
      <c r="M643" s="225"/>
      <c r="N643" s="225">
        <f t="shared" si="502"/>
        <v>2100000</v>
      </c>
      <c r="O643" s="225">
        <f t="shared" si="503"/>
        <v>0</v>
      </c>
      <c r="P643" s="225"/>
      <c r="Q643" s="225">
        <f>N643</f>
        <v>2100000</v>
      </c>
      <c r="R643" s="225"/>
      <c r="S643" s="225"/>
      <c r="T643" s="225"/>
      <c r="U643" s="225"/>
      <c r="V643" s="222"/>
      <c r="W643" s="286"/>
    </row>
    <row r="644" spans="1:23" x14ac:dyDescent="0.25">
      <c r="A644" s="233"/>
      <c r="B644" s="223"/>
      <c r="C644" s="223"/>
      <c r="D644" s="222"/>
      <c r="E644" s="258"/>
      <c r="F644" s="258"/>
      <c r="G644" s="224"/>
      <c r="H644" s="224"/>
      <c r="I644" s="225"/>
      <c r="J644" s="225"/>
      <c r="K644" s="225"/>
      <c r="L644" s="225"/>
      <c r="M644" s="225"/>
      <c r="N644" s="225"/>
      <c r="O644" s="225"/>
      <c r="P644" s="225"/>
      <c r="Q644" s="225"/>
      <c r="R644" s="225"/>
      <c r="S644" s="225"/>
      <c r="T644" s="225"/>
      <c r="U644" s="225"/>
      <c r="V644" s="222"/>
    </row>
    <row r="645" spans="1:23" x14ac:dyDescent="0.25">
      <c r="A645" s="232"/>
      <c r="B645" s="215" t="s">
        <v>611</v>
      </c>
      <c r="C645" s="232"/>
      <c r="D645" s="216" t="s">
        <v>612</v>
      </c>
      <c r="E645" s="291"/>
      <c r="F645" s="291"/>
      <c r="G645" s="214"/>
      <c r="H645" s="214"/>
      <c r="I645" s="217">
        <f t="shared" ref="I645:U646" si="504">I646</f>
        <v>2920000</v>
      </c>
      <c r="J645" s="217">
        <f t="shared" si="504"/>
        <v>0</v>
      </c>
      <c r="K645" s="217">
        <f t="shared" si="504"/>
        <v>2920000</v>
      </c>
      <c r="L645" s="217"/>
      <c r="M645" s="217"/>
      <c r="N645" s="217">
        <f t="shared" si="504"/>
        <v>2920000</v>
      </c>
      <c r="O645" s="217">
        <f t="shared" si="504"/>
        <v>0</v>
      </c>
      <c r="P645" s="217"/>
      <c r="Q645" s="217">
        <f t="shared" si="504"/>
        <v>2920000</v>
      </c>
      <c r="R645" s="217">
        <f t="shared" si="504"/>
        <v>0</v>
      </c>
      <c r="S645" s="217">
        <f t="shared" si="504"/>
        <v>0</v>
      </c>
      <c r="T645" s="217">
        <f t="shared" si="504"/>
        <v>0</v>
      </c>
      <c r="U645" s="217">
        <f t="shared" si="504"/>
        <v>0</v>
      </c>
      <c r="V645" s="214"/>
    </row>
    <row r="646" spans="1:23" ht="45" x14ac:dyDescent="0.25">
      <c r="A646" s="232"/>
      <c r="B646" s="242" t="s">
        <v>613</v>
      </c>
      <c r="C646" s="232"/>
      <c r="D646" s="214"/>
      <c r="E646" s="236" t="s">
        <v>614</v>
      </c>
      <c r="F646" s="236" t="s">
        <v>736</v>
      </c>
      <c r="G646" s="236"/>
      <c r="H646" s="236"/>
      <c r="I646" s="237">
        <f t="shared" si="504"/>
        <v>2920000</v>
      </c>
      <c r="J646" s="237">
        <f t="shared" si="504"/>
        <v>0</v>
      </c>
      <c r="K646" s="237">
        <f t="shared" si="504"/>
        <v>2920000</v>
      </c>
      <c r="L646" s="237"/>
      <c r="M646" s="237"/>
      <c r="N646" s="237">
        <f t="shared" si="504"/>
        <v>2920000</v>
      </c>
      <c r="O646" s="237">
        <f t="shared" si="504"/>
        <v>0</v>
      </c>
      <c r="P646" s="237"/>
      <c r="Q646" s="237">
        <f t="shared" si="504"/>
        <v>2920000</v>
      </c>
      <c r="R646" s="237">
        <f t="shared" si="504"/>
        <v>0</v>
      </c>
      <c r="S646" s="237">
        <f t="shared" si="504"/>
        <v>0</v>
      </c>
      <c r="T646" s="237">
        <f t="shared" si="504"/>
        <v>0</v>
      </c>
      <c r="U646" s="237">
        <f t="shared" si="504"/>
        <v>0</v>
      </c>
      <c r="V646" s="214"/>
    </row>
    <row r="647" spans="1:23" x14ac:dyDescent="0.25">
      <c r="A647" s="232"/>
      <c r="B647" s="215" t="s">
        <v>613</v>
      </c>
      <c r="C647" s="215" t="s">
        <v>359</v>
      </c>
      <c r="D647" s="214"/>
      <c r="E647" s="216" t="s">
        <v>67</v>
      </c>
      <c r="F647" s="236"/>
      <c r="G647" s="216"/>
      <c r="H647" s="216"/>
      <c r="I647" s="217">
        <f>I648+I651</f>
        <v>2920000</v>
      </c>
      <c r="J647" s="217">
        <f>J648+J651</f>
        <v>0</v>
      </c>
      <c r="K647" s="217">
        <f>K648+K651</f>
        <v>2920000</v>
      </c>
      <c r="L647" s="217"/>
      <c r="M647" s="217"/>
      <c r="N647" s="217">
        <f>N648+N651</f>
        <v>2920000</v>
      </c>
      <c r="O647" s="217">
        <f>O648+O651</f>
        <v>0</v>
      </c>
      <c r="P647" s="217"/>
      <c r="Q647" s="217">
        <f t="shared" ref="Q647:U647" si="505">Q648+Q651</f>
        <v>2920000</v>
      </c>
      <c r="R647" s="217">
        <f t="shared" si="505"/>
        <v>0</v>
      </c>
      <c r="S647" s="217">
        <f t="shared" si="505"/>
        <v>0</v>
      </c>
      <c r="T647" s="217">
        <f t="shared" si="505"/>
        <v>0</v>
      </c>
      <c r="U647" s="217">
        <f t="shared" si="505"/>
        <v>0</v>
      </c>
      <c r="V647" s="214"/>
    </row>
    <row r="648" spans="1:23" x14ac:dyDescent="0.25">
      <c r="A648" s="234"/>
      <c r="B648" s="219" t="s">
        <v>613</v>
      </c>
      <c r="C648" s="219" t="s">
        <v>360</v>
      </c>
      <c r="D648" s="218"/>
      <c r="E648" s="220" t="s">
        <v>361</v>
      </c>
      <c r="F648" s="277"/>
      <c r="G648" s="220"/>
      <c r="H648" s="220"/>
      <c r="I648" s="221">
        <f>SUM(I649:I650)</f>
        <v>1495000</v>
      </c>
      <c r="J648" s="221">
        <f>SUM(J649:J650)</f>
        <v>0</v>
      </c>
      <c r="K648" s="221">
        <f>SUM(K649:K650)</f>
        <v>1495000</v>
      </c>
      <c r="L648" s="221"/>
      <c r="M648" s="221"/>
      <c r="N648" s="221">
        <f>SUM(N649:N650)</f>
        <v>1495000</v>
      </c>
      <c r="O648" s="221">
        <f>SUM(O649:O650)</f>
        <v>0</v>
      </c>
      <c r="P648" s="221"/>
      <c r="Q648" s="221">
        <f t="shared" ref="Q648:U648" si="506">SUM(Q649:Q650)</f>
        <v>1495000</v>
      </c>
      <c r="R648" s="221">
        <f t="shared" si="506"/>
        <v>0</v>
      </c>
      <c r="S648" s="221">
        <f t="shared" si="506"/>
        <v>0</v>
      </c>
      <c r="T648" s="221">
        <f t="shared" si="506"/>
        <v>0</v>
      </c>
      <c r="U648" s="221">
        <f t="shared" si="506"/>
        <v>0</v>
      </c>
      <c r="V648" s="218"/>
    </row>
    <row r="649" spans="1:23" x14ac:dyDescent="0.25">
      <c r="A649" s="233"/>
      <c r="B649" s="223" t="s">
        <v>613</v>
      </c>
      <c r="C649" s="223" t="s">
        <v>366</v>
      </c>
      <c r="D649" s="222"/>
      <c r="E649" s="224" t="s">
        <v>367</v>
      </c>
      <c r="F649" s="258"/>
      <c r="G649" s="224"/>
      <c r="H649" s="224"/>
      <c r="I649" s="225">
        <v>155000</v>
      </c>
      <c r="J649" s="225">
        <v>0</v>
      </c>
      <c r="K649" s="225">
        <f>[1]Nov!I690</f>
        <v>155000</v>
      </c>
      <c r="L649" s="225"/>
      <c r="M649" s="225"/>
      <c r="N649" s="225">
        <f t="shared" ref="N649:N650" si="507">J649+K649</f>
        <v>155000</v>
      </c>
      <c r="O649" s="225">
        <f t="shared" ref="O649:O650" si="508">I649-N649</f>
        <v>0</v>
      </c>
      <c r="P649" s="225"/>
      <c r="Q649" s="225">
        <f>N649</f>
        <v>155000</v>
      </c>
      <c r="R649" s="225"/>
      <c r="S649" s="225"/>
      <c r="T649" s="225"/>
      <c r="U649" s="225"/>
      <c r="V649" s="222"/>
    </row>
    <row r="650" spans="1:23" x14ac:dyDescent="0.25">
      <c r="A650" s="233"/>
      <c r="B650" s="223" t="s">
        <v>613</v>
      </c>
      <c r="C650" s="223" t="s">
        <v>368</v>
      </c>
      <c r="D650" s="222"/>
      <c r="E650" s="224" t="s">
        <v>369</v>
      </c>
      <c r="F650" s="258"/>
      <c r="G650" s="224"/>
      <c r="H650" s="224"/>
      <c r="I650" s="225">
        <v>1340000</v>
      </c>
      <c r="J650" s="225">
        <v>0</v>
      </c>
      <c r="K650" s="225">
        <f>[1]Nov!I691</f>
        <v>1340000</v>
      </c>
      <c r="L650" s="225"/>
      <c r="M650" s="225"/>
      <c r="N650" s="225">
        <f t="shared" si="507"/>
        <v>1340000</v>
      </c>
      <c r="O650" s="225">
        <f t="shared" si="508"/>
        <v>0</v>
      </c>
      <c r="P650" s="225"/>
      <c r="Q650" s="225">
        <f>N650</f>
        <v>1340000</v>
      </c>
      <c r="R650" s="225"/>
      <c r="S650" s="225"/>
      <c r="T650" s="225"/>
      <c r="U650" s="225"/>
      <c r="V650" s="222"/>
    </row>
    <row r="651" spans="1:23" x14ac:dyDescent="0.25">
      <c r="A651" s="234"/>
      <c r="B651" s="219" t="s">
        <v>613</v>
      </c>
      <c r="C651" s="219" t="s">
        <v>370</v>
      </c>
      <c r="D651" s="218"/>
      <c r="E651" s="220" t="s">
        <v>81</v>
      </c>
      <c r="F651" s="277"/>
      <c r="G651" s="220"/>
      <c r="H651" s="220"/>
      <c r="I651" s="221">
        <f>SUM(I652:I653)</f>
        <v>1425000</v>
      </c>
      <c r="J651" s="221">
        <f>SUM(J652:J653)</f>
        <v>0</v>
      </c>
      <c r="K651" s="221">
        <f>SUM(K652:K653)</f>
        <v>1425000</v>
      </c>
      <c r="L651" s="221"/>
      <c r="M651" s="221"/>
      <c r="N651" s="221">
        <f>SUM(N652:N653)</f>
        <v>1425000</v>
      </c>
      <c r="O651" s="221">
        <f>SUM(O652:O653)</f>
        <v>0</v>
      </c>
      <c r="P651" s="221"/>
      <c r="Q651" s="221">
        <f t="shared" ref="Q651:U651" si="509">SUM(Q652:Q653)</f>
        <v>1425000</v>
      </c>
      <c r="R651" s="221">
        <f t="shared" si="509"/>
        <v>0</v>
      </c>
      <c r="S651" s="221">
        <f t="shared" si="509"/>
        <v>0</v>
      </c>
      <c r="T651" s="221">
        <f t="shared" si="509"/>
        <v>0</v>
      </c>
      <c r="U651" s="221">
        <f t="shared" si="509"/>
        <v>0</v>
      </c>
      <c r="V651" s="218"/>
    </row>
    <row r="652" spans="1:23" ht="30" x14ac:dyDescent="0.25">
      <c r="A652" s="233"/>
      <c r="B652" s="223" t="s">
        <v>613</v>
      </c>
      <c r="C652" s="223" t="s">
        <v>476</v>
      </c>
      <c r="D652" s="222"/>
      <c r="E652" s="258" t="s">
        <v>477</v>
      </c>
      <c r="F652" s="258"/>
      <c r="G652" s="224"/>
      <c r="H652" s="224"/>
      <c r="I652" s="225">
        <v>450000</v>
      </c>
      <c r="J652" s="225">
        <v>0</v>
      </c>
      <c r="K652" s="225">
        <f>[1]Nov!I693</f>
        <v>450000</v>
      </c>
      <c r="L652" s="225"/>
      <c r="M652" s="225"/>
      <c r="N652" s="225">
        <f t="shared" ref="N652:N653" si="510">J652+K652</f>
        <v>450000</v>
      </c>
      <c r="O652" s="225">
        <f t="shared" ref="O652:O653" si="511">I652-N652</f>
        <v>0</v>
      </c>
      <c r="P652" s="225"/>
      <c r="Q652" s="225">
        <f>N652</f>
        <v>450000</v>
      </c>
      <c r="R652" s="225"/>
      <c r="S652" s="225"/>
      <c r="T652" s="225"/>
      <c r="U652" s="225"/>
      <c r="V652" s="222"/>
    </row>
    <row r="653" spans="1:23" ht="30" x14ac:dyDescent="0.25">
      <c r="A653" s="233"/>
      <c r="B653" s="223" t="s">
        <v>613</v>
      </c>
      <c r="C653" s="223" t="s">
        <v>478</v>
      </c>
      <c r="D653" s="222"/>
      <c r="E653" s="258" t="s">
        <v>479</v>
      </c>
      <c r="F653" s="258"/>
      <c r="G653" s="224"/>
      <c r="H653" s="224"/>
      <c r="I653" s="225">
        <v>975000</v>
      </c>
      <c r="J653" s="225">
        <v>0</v>
      </c>
      <c r="K653" s="225">
        <f>[1]Nov!I694</f>
        <v>975000</v>
      </c>
      <c r="L653" s="225"/>
      <c r="M653" s="225"/>
      <c r="N653" s="225">
        <f t="shared" si="510"/>
        <v>975000</v>
      </c>
      <c r="O653" s="225">
        <f t="shared" si="511"/>
        <v>0</v>
      </c>
      <c r="P653" s="225"/>
      <c r="Q653" s="225">
        <f>N653</f>
        <v>975000</v>
      </c>
      <c r="R653" s="225"/>
      <c r="S653" s="225"/>
      <c r="T653" s="225"/>
      <c r="U653" s="225"/>
      <c r="V653" s="222"/>
    </row>
    <row r="654" spans="1:23" x14ac:dyDescent="0.25">
      <c r="A654" s="233"/>
      <c r="B654" s="223"/>
      <c r="C654" s="223"/>
      <c r="D654" s="222"/>
      <c r="E654" s="224"/>
      <c r="F654" s="258"/>
      <c r="G654" s="224"/>
      <c r="H654" s="224"/>
      <c r="I654" s="225"/>
      <c r="J654" s="225"/>
      <c r="K654" s="225"/>
      <c r="L654" s="225"/>
      <c r="M654" s="225"/>
      <c r="N654" s="225"/>
      <c r="O654" s="225"/>
      <c r="P654" s="225"/>
      <c r="Q654" s="225"/>
      <c r="R654" s="225"/>
      <c r="S654" s="225"/>
      <c r="T654" s="225"/>
      <c r="U654" s="225"/>
      <c r="V654" s="222"/>
    </row>
    <row r="655" spans="1:23" x14ac:dyDescent="0.25">
      <c r="A655" s="232"/>
      <c r="B655" s="215" t="s">
        <v>615</v>
      </c>
      <c r="C655" s="232"/>
      <c r="D655" s="216" t="s">
        <v>119</v>
      </c>
      <c r="E655" s="214"/>
      <c r="F655" s="291"/>
      <c r="G655" s="214"/>
      <c r="H655" s="214"/>
      <c r="I655" s="217">
        <f t="shared" ref="I655:U656" si="512">I656</f>
        <v>2504800</v>
      </c>
      <c r="J655" s="217">
        <f t="shared" si="512"/>
        <v>0</v>
      </c>
      <c r="K655" s="217">
        <f t="shared" si="512"/>
        <v>2504750</v>
      </c>
      <c r="L655" s="217"/>
      <c r="M655" s="217"/>
      <c r="N655" s="217">
        <f t="shared" si="512"/>
        <v>2504750</v>
      </c>
      <c r="O655" s="217">
        <f t="shared" si="512"/>
        <v>50</v>
      </c>
      <c r="P655" s="217"/>
      <c r="Q655" s="217">
        <f t="shared" si="512"/>
        <v>2504750</v>
      </c>
      <c r="R655" s="217">
        <f t="shared" si="512"/>
        <v>0</v>
      </c>
      <c r="S655" s="217">
        <f t="shared" si="512"/>
        <v>0</v>
      </c>
      <c r="T655" s="217">
        <f t="shared" si="512"/>
        <v>0</v>
      </c>
      <c r="U655" s="217">
        <f t="shared" si="512"/>
        <v>0</v>
      </c>
      <c r="V655" s="214"/>
    </row>
    <row r="656" spans="1:23" ht="60" x14ac:dyDescent="0.25">
      <c r="A656" s="232"/>
      <c r="B656" s="242" t="s">
        <v>616</v>
      </c>
      <c r="C656" s="232"/>
      <c r="D656" s="214"/>
      <c r="E656" s="236" t="s">
        <v>617</v>
      </c>
      <c r="F656" s="236" t="s">
        <v>737</v>
      </c>
      <c r="G656" s="236"/>
      <c r="H656" s="236"/>
      <c r="I656" s="237">
        <f t="shared" si="512"/>
        <v>2504800</v>
      </c>
      <c r="J656" s="237">
        <f t="shared" si="512"/>
        <v>0</v>
      </c>
      <c r="K656" s="237">
        <f t="shared" si="512"/>
        <v>2504750</v>
      </c>
      <c r="L656" s="237"/>
      <c r="M656" s="237"/>
      <c r="N656" s="237">
        <f t="shared" si="512"/>
        <v>2504750</v>
      </c>
      <c r="O656" s="237">
        <f t="shared" si="512"/>
        <v>50</v>
      </c>
      <c r="P656" s="237"/>
      <c r="Q656" s="237">
        <f t="shared" si="512"/>
        <v>2504750</v>
      </c>
      <c r="R656" s="237">
        <f t="shared" si="512"/>
        <v>0</v>
      </c>
      <c r="S656" s="237">
        <f t="shared" si="512"/>
        <v>0</v>
      </c>
      <c r="T656" s="237">
        <f t="shared" si="512"/>
        <v>0</v>
      </c>
      <c r="U656" s="237">
        <f t="shared" si="512"/>
        <v>0</v>
      </c>
      <c r="V656" s="214"/>
    </row>
    <row r="657" spans="1:22" x14ac:dyDescent="0.25">
      <c r="A657" s="232"/>
      <c r="B657" s="215" t="s">
        <v>616</v>
      </c>
      <c r="C657" s="215" t="s">
        <v>359</v>
      </c>
      <c r="D657" s="214"/>
      <c r="E657" s="216" t="s">
        <v>67</v>
      </c>
      <c r="F657" s="236"/>
      <c r="G657" s="216"/>
      <c r="H657" s="216"/>
      <c r="I657" s="217">
        <f>I658+I661+I664</f>
        <v>2504800</v>
      </c>
      <c r="J657" s="217">
        <f>J658+J661+J664</f>
        <v>0</v>
      </c>
      <c r="K657" s="217">
        <f>K658+K661+K664</f>
        <v>2504750</v>
      </c>
      <c r="L657" s="217"/>
      <c r="M657" s="217"/>
      <c r="N657" s="217">
        <f>N658+N661+N664</f>
        <v>2504750</v>
      </c>
      <c r="O657" s="217">
        <f>O658+O661+O664</f>
        <v>50</v>
      </c>
      <c r="P657" s="217"/>
      <c r="Q657" s="217">
        <f t="shared" ref="Q657:U657" si="513">Q658+Q661+Q664</f>
        <v>2504750</v>
      </c>
      <c r="R657" s="217">
        <f t="shared" si="513"/>
        <v>0</v>
      </c>
      <c r="S657" s="217">
        <f t="shared" si="513"/>
        <v>0</v>
      </c>
      <c r="T657" s="217">
        <f t="shared" si="513"/>
        <v>0</v>
      </c>
      <c r="U657" s="217">
        <f t="shared" si="513"/>
        <v>0</v>
      </c>
      <c r="V657" s="214"/>
    </row>
    <row r="658" spans="1:22" x14ac:dyDescent="0.25">
      <c r="A658" s="234"/>
      <c r="B658" s="219" t="s">
        <v>616</v>
      </c>
      <c r="C658" s="219" t="s">
        <v>360</v>
      </c>
      <c r="D658" s="218"/>
      <c r="E658" s="220" t="s">
        <v>361</v>
      </c>
      <c r="F658" s="277"/>
      <c r="G658" s="220"/>
      <c r="H658" s="220"/>
      <c r="I658" s="221">
        <f>SUM(I659:I660)</f>
        <v>704800</v>
      </c>
      <c r="J658" s="221">
        <f>SUM(J659:J660)</f>
        <v>0</v>
      </c>
      <c r="K658" s="221">
        <f>SUM(K659:K660)</f>
        <v>704750</v>
      </c>
      <c r="L658" s="221"/>
      <c r="M658" s="221"/>
      <c r="N658" s="221">
        <f>SUM(N659:N660)</f>
        <v>704750</v>
      </c>
      <c r="O658" s="221">
        <f>SUM(O659:O660)</f>
        <v>50</v>
      </c>
      <c r="P658" s="221"/>
      <c r="Q658" s="221">
        <f t="shared" ref="Q658:U658" si="514">SUM(Q659:Q660)</f>
        <v>704750</v>
      </c>
      <c r="R658" s="221">
        <f t="shared" si="514"/>
        <v>0</v>
      </c>
      <c r="S658" s="221">
        <f t="shared" si="514"/>
        <v>0</v>
      </c>
      <c r="T658" s="221">
        <f t="shared" si="514"/>
        <v>0</v>
      </c>
      <c r="U658" s="221">
        <f t="shared" si="514"/>
        <v>0</v>
      </c>
      <c r="V658" s="218"/>
    </row>
    <row r="659" spans="1:22" x14ac:dyDescent="0.25">
      <c r="A659" s="233"/>
      <c r="B659" s="223" t="s">
        <v>616</v>
      </c>
      <c r="C659" s="223" t="s">
        <v>366</v>
      </c>
      <c r="D659" s="222"/>
      <c r="E659" s="224" t="s">
        <v>367</v>
      </c>
      <c r="F659" s="258"/>
      <c r="G659" s="224"/>
      <c r="H659" s="224"/>
      <c r="I659" s="225">
        <v>104800</v>
      </c>
      <c r="J659" s="225">
        <v>0</v>
      </c>
      <c r="K659" s="225">
        <f>[1]Nov!I700</f>
        <v>104750</v>
      </c>
      <c r="L659" s="225"/>
      <c r="M659" s="225"/>
      <c r="N659" s="225">
        <f t="shared" ref="N659:N660" si="515">J659+K659</f>
        <v>104750</v>
      </c>
      <c r="O659" s="225">
        <f t="shared" ref="O659:O660" si="516">I659-N659</f>
        <v>50</v>
      </c>
      <c r="P659" s="225"/>
      <c r="Q659" s="225">
        <f>N659</f>
        <v>104750</v>
      </c>
      <c r="R659" s="225"/>
      <c r="S659" s="225"/>
      <c r="T659" s="225"/>
      <c r="U659" s="225"/>
      <c r="V659" s="222"/>
    </row>
    <row r="660" spans="1:22" ht="30" x14ac:dyDescent="0.25">
      <c r="A660" s="233"/>
      <c r="B660" s="223" t="s">
        <v>616</v>
      </c>
      <c r="C660" s="223" t="s">
        <v>368</v>
      </c>
      <c r="D660" s="222"/>
      <c r="E660" s="258" t="s">
        <v>369</v>
      </c>
      <c r="F660" s="258"/>
      <c r="G660" s="224"/>
      <c r="H660" s="224"/>
      <c r="I660" s="225">
        <v>600000</v>
      </c>
      <c r="J660" s="225">
        <v>0</v>
      </c>
      <c r="K660" s="225">
        <f>[1]Nov!I701</f>
        <v>600000</v>
      </c>
      <c r="L660" s="225"/>
      <c r="M660" s="225"/>
      <c r="N660" s="225">
        <f t="shared" si="515"/>
        <v>600000</v>
      </c>
      <c r="O660" s="225">
        <f t="shared" si="516"/>
        <v>0</v>
      </c>
      <c r="P660" s="225"/>
      <c r="Q660" s="225">
        <f>N660</f>
        <v>600000</v>
      </c>
      <c r="R660" s="225"/>
      <c r="S660" s="225"/>
      <c r="T660" s="225"/>
      <c r="U660" s="225"/>
      <c r="V660" s="222"/>
    </row>
    <row r="661" spans="1:22" x14ac:dyDescent="0.25">
      <c r="A661" s="259"/>
      <c r="B661" s="260" t="s">
        <v>616</v>
      </c>
      <c r="C661" s="260" t="s">
        <v>370</v>
      </c>
      <c r="D661" s="261"/>
      <c r="E661" s="315" t="s">
        <v>81</v>
      </c>
      <c r="F661" s="315"/>
      <c r="G661" s="262"/>
      <c r="H661" s="262"/>
      <c r="I661" s="263">
        <f>SUM(I662:I663)</f>
        <v>1050000</v>
      </c>
      <c r="J661" s="263">
        <f>SUM(J662:J663)</f>
        <v>0</v>
      </c>
      <c r="K661" s="263">
        <f>SUM(K662:K663)</f>
        <v>1050000</v>
      </c>
      <c r="L661" s="263"/>
      <c r="M661" s="263"/>
      <c r="N661" s="263">
        <f>SUM(N662:N663)</f>
        <v>1050000</v>
      </c>
      <c r="O661" s="263">
        <f>SUM(O662:O663)</f>
        <v>0</v>
      </c>
      <c r="P661" s="263"/>
      <c r="Q661" s="263">
        <f t="shared" ref="Q661:U661" si="517">SUM(Q662:Q663)</f>
        <v>1050000</v>
      </c>
      <c r="R661" s="263">
        <f t="shared" si="517"/>
        <v>0</v>
      </c>
      <c r="S661" s="263">
        <f t="shared" si="517"/>
        <v>0</v>
      </c>
      <c r="T661" s="263">
        <f t="shared" si="517"/>
        <v>0</v>
      </c>
      <c r="U661" s="263">
        <f t="shared" si="517"/>
        <v>0</v>
      </c>
      <c r="V661" s="261"/>
    </row>
    <row r="662" spans="1:22" ht="30" x14ac:dyDescent="0.25">
      <c r="A662" s="233"/>
      <c r="B662" s="223" t="s">
        <v>616</v>
      </c>
      <c r="C662" s="223" t="s">
        <v>476</v>
      </c>
      <c r="D662" s="222"/>
      <c r="E662" s="258" t="s">
        <v>477</v>
      </c>
      <c r="F662" s="258"/>
      <c r="G662" s="224"/>
      <c r="H662" s="224"/>
      <c r="I662" s="225">
        <v>450000</v>
      </c>
      <c r="J662" s="225">
        <v>0</v>
      </c>
      <c r="K662" s="225">
        <f>[1]Nov!I703</f>
        <v>450000</v>
      </c>
      <c r="L662" s="225"/>
      <c r="M662" s="225"/>
      <c r="N662" s="225">
        <f t="shared" ref="N662:N663" si="518">J662+K662</f>
        <v>450000</v>
      </c>
      <c r="O662" s="225">
        <f t="shared" ref="O662:O663" si="519">I662-N662</f>
        <v>0</v>
      </c>
      <c r="P662" s="225"/>
      <c r="Q662" s="225">
        <f>N662</f>
        <v>450000</v>
      </c>
      <c r="R662" s="225"/>
      <c r="S662" s="225"/>
      <c r="T662" s="225"/>
      <c r="U662" s="225"/>
      <c r="V662" s="222"/>
    </row>
    <row r="663" spans="1:22" ht="30" x14ac:dyDescent="0.25">
      <c r="A663" s="233"/>
      <c r="B663" s="223" t="s">
        <v>616</v>
      </c>
      <c r="C663" s="223" t="s">
        <v>478</v>
      </c>
      <c r="D663" s="222"/>
      <c r="E663" s="258" t="s">
        <v>479</v>
      </c>
      <c r="F663" s="258"/>
      <c r="G663" s="224"/>
      <c r="H663" s="224"/>
      <c r="I663" s="225">
        <v>600000</v>
      </c>
      <c r="J663" s="225">
        <v>0</v>
      </c>
      <c r="K663" s="225">
        <f>[1]Nov!I704</f>
        <v>600000</v>
      </c>
      <c r="L663" s="225"/>
      <c r="M663" s="225"/>
      <c r="N663" s="225">
        <f t="shared" si="518"/>
        <v>600000</v>
      </c>
      <c r="O663" s="225">
        <f t="shared" si="519"/>
        <v>0</v>
      </c>
      <c r="P663" s="225"/>
      <c r="Q663" s="225">
        <f>N663</f>
        <v>600000</v>
      </c>
      <c r="R663" s="225"/>
      <c r="S663" s="225"/>
      <c r="T663" s="225"/>
      <c r="U663" s="225"/>
      <c r="V663" s="222"/>
    </row>
    <row r="664" spans="1:22" x14ac:dyDescent="0.25">
      <c r="A664" s="234"/>
      <c r="B664" s="219" t="s">
        <v>616</v>
      </c>
      <c r="C664" s="219" t="s">
        <v>455</v>
      </c>
      <c r="D664" s="218"/>
      <c r="E664" s="277" t="s">
        <v>83</v>
      </c>
      <c r="F664" s="277"/>
      <c r="G664" s="220"/>
      <c r="H664" s="220"/>
      <c r="I664" s="221">
        <f>SUM(I665:I666)</f>
        <v>750000</v>
      </c>
      <c r="J664" s="221">
        <f>SUM(J665:J666)</f>
        <v>0</v>
      </c>
      <c r="K664" s="221">
        <f>SUM(K665:K666)</f>
        <v>750000</v>
      </c>
      <c r="L664" s="221"/>
      <c r="M664" s="221"/>
      <c r="N664" s="221">
        <f>SUM(N665:N666)</f>
        <v>750000</v>
      </c>
      <c r="O664" s="221">
        <f>SUM(O665:O666)</f>
        <v>0</v>
      </c>
      <c r="P664" s="221"/>
      <c r="Q664" s="221">
        <f t="shared" ref="Q664:U664" si="520">SUM(Q665:Q666)</f>
        <v>750000</v>
      </c>
      <c r="R664" s="221">
        <f t="shared" si="520"/>
        <v>0</v>
      </c>
      <c r="S664" s="221">
        <f t="shared" si="520"/>
        <v>0</v>
      </c>
      <c r="T664" s="221">
        <f t="shared" si="520"/>
        <v>0</v>
      </c>
      <c r="U664" s="221">
        <f t="shared" si="520"/>
        <v>0</v>
      </c>
      <c r="V664" s="218"/>
    </row>
    <row r="665" spans="1:22" ht="30" x14ac:dyDescent="0.25">
      <c r="A665" s="233"/>
      <c r="B665" s="223" t="s">
        <v>616</v>
      </c>
      <c r="C665" s="223" t="s">
        <v>618</v>
      </c>
      <c r="D665" s="222"/>
      <c r="E665" s="258" t="s">
        <v>619</v>
      </c>
      <c r="F665" s="258"/>
      <c r="G665" s="224"/>
      <c r="H665" s="224"/>
      <c r="I665" s="225">
        <v>250000</v>
      </c>
      <c r="J665" s="225">
        <v>0</v>
      </c>
      <c r="K665" s="225">
        <f>[1]Nov!I706</f>
        <v>250000</v>
      </c>
      <c r="L665" s="225"/>
      <c r="M665" s="225"/>
      <c r="N665" s="225">
        <f t="shared" ref="N665:N666" si="521">J665+K665</f>
        <v>250000</v>
      </c>
      <c r="O665" s="225">
        <f t="shared" ref="O665:O666" si="522">I665-N665</f>
        <v>0</v>
      </c>
      <c r="P665" s="225"/>
      <c r="Q665" s="225">
        <f>N665</f>
        <v>250000</v>
      </c>
      <c r="R665" s="225"/>
      <c r="S665" s="225"/>
      <c r="T665" s="225"/>
      <c r="U665" s="225"/>
      <c r="V665" s="222"/>
    </row>
    <row r="666" spans="1:22" x14ac:dyDescent="0.25">
      <c r="A666" s="243"/>
      <c r="B666" s="244" t="s">
        <v>616</v>
      </c>
      <c r="C666" s="244" t="s">
        <v>467</v>
      </c>
      <c r="D666" s="245"/>
      <c r="E666" s="246" t="s">
        <v>468</v>
      </c>
      <c r="F666" s="295"/>
      <c r="G666" s="246"/>
      <c r="H666" s="246"/>
      <c r="I666" s="247">
        <v>500000</v>
      </c>
      <c r="J666" s="247">
        <v>0</v>
      </c>
      <c r="K666" s="225">
        <f>[1]Nov!I707</f>
        <v>500000</v>
      </c>
      <c r="L666" s="247"/>
      <c r="M666" s="247"/>
      <c r="N666" s="247">
        <f t="shared" si="521"/>
        <v>500000</v>
      </c>
      <c r="O666" s="247">
        <f t="shared" si="522"/>
        <v>0</v>
      </c>
      <c r="P666" s="247"/>
      <c r="Q666" s="225">
        <f>N666</f>
        <v>500000</v>
      </c>
      <c r="R666" s="247"/>
      <c r="S666" s="247"/>
      <c r="T666" s="247"/>
      <c r="U666" s="247"/>
      <c r="V666" s="245"/>
    </row>
    <row r="667" spans="1:22" x14ac:dyDescent="0.25">
      <c r="A667" s="248"/>
      <c r="B667" s="289"/>
      <c r="C667" s="289"/>
      <c r="D667" s="265"/>
      <c r="E667" s="290"/>
      <c r="F667" s="297"/>
      <c r="G667" s="290"/>
      <c r="H667" s="290"/>
      <c r="I667" s="270"/>
      <c r="J667" s="270"/>
      <c r="K667" s="270"/>
      <c r="L667" s="270"/>
      <c r="M667" s="270"/>
      <c r="N667" s="270"/>
      <c r="O667" s="270"/>
      <c r="P667" s="270"/>
      <c r="Q667" s="270"/>
      <c r="R667" s="270"/>
      <c r="S667" s="270"/>
      <c r="T667" s="270"/>
      <c r="U667" s="270"/>
      <c r="V667" s="265"/>
    </row>
    <row r="668" spans="1:22" x14ac:dyDescent="0.25">
      <c r="A668" s="232"/>
      <c r="B668" s="250">
        <v>5</v>
      </c>
      <c r="C668" s="249"/>
      <c r="D668" s="252" t="s">
        <v>620</v>
      </c>
      <c r="E668" s="251"/>
      <c r="F668" s="296"/>
      <c r="G668" s="251"/>
      <c r="H668" s="251"/>
      <c r="I668" s="253">
        <f>I669+I675+I681</f>
        <v>275402500</v>
      </c>
      <c r="J668" s="253">
        <f>J669+J675+J681</f>
        <v>300000</v>
      </c>
      <c r="K668" s="253">
        <f>K669+K675+K681</f>
        <v>255211750</v>
      </c>
      <c r="L668" s="253"/>
      <c r="M668" s="253"/>
      <c r="N668" s="253">
        <f>N669+N675+N681</f>
        <v>255511750</v>
      </c>
      <c r="O668" s="253">
        <f>O669+O675+O681</f>
        <v>19890750</v>
      </c>
      <c r="P668" s="253"/>
      <c r="Q668" s="253">
        <f t="shared" ref="Q668:U668" si="523">Q669+Q675+Q681</f>
        <v>255511750</v>
      </c>
      <c r="R668" s="253">
        <f t="shared" si="523"/>
        <v>0</v>
      </c>
      <c r="S668" s="253">
        <f t="shared" si="523"/>
        <v>0</v>
      </c>
      <c r="T668" s="253">
        <f t="shared" si="523"/>
        <v>0</v>
      </c>
      <c r="U668" s="253">
        <f t="shared" si="523"/>
        <v>0</v>
      </c>
      <c r="V668" s="251"/>
    </row>
    <row r="669" spans="1:22" x14ac:dyDescent="0.25">
      <c r="A669" s="232"/>
      <c r="B669" s="215" t="s">
        <v>621</v>
      </c>
      <c r="C669" s="232"/>
      <c r="D669" s="216" t="s">
        <v>121</v>
      </c>
      <c r="E669" s="214"/>
      <c r="F669" s="291"/>
      <c r="G669" s="214"/>
      <c r="H669" s="214"/>
      <c r="I669" s="217">
        <f t="shared" ref="I669:U671" si="524">I670</f>
        <v>56202500</v>
      </c>
      <c r="J669" s="217">
        <f t="shared" si="524"/>
        <v>300000</v>
      </c>
      <c r="K669" s="217">
        <f t="shared" si="524"/>
        <v>42811750</v>
      </c>
      <c r="L669" s="217"/>
      <c r="M669" s="217"/>
      <c r="N669" s="217">
        <f t="shared" si="524"/>
        <v>43111750</v>
      </c>
      <c r="O669" s="217">
        <f t="shared" si="524"/>
        <v>13090750</v>
      </c>
      <c r="P669" s="217"/>
      <c r="Q669" s="217">
        <f t="shared" si="524"/>
        <v>43111750</v>
      </c>
      <c r="R669" s="217">
        <f t="shared" si="524"/>
        <v>0</v>
      </c>
      <c r="S669" s="217">
        <f t="shared" si="524"/>
        <v>0</v>
      </c>
      <c r="T669" s="217">
        <f t="shared" si="524"/>
        <v>0</v>
      </c>
      <c r="U669" s="217">
        <f t="shared" si="524"/>
        <v>0</v>
      </c>
      <c r="V669" s="214"/>
    </row>
    <row r="670" spans="1:22" ht="45" x14ac:dyDescent="0.25">
      <c r="A670" s="232"/>
      <c r="B670" s="215" t="s">
        <v>622</v>
      </c>
      <c r="C670" s="232"/>
      <c r="D670" s="214"/>
      <c r="E670" s="216" t="s">
        <v>623</v>
      </c>
      <c r="F670" s="236" t="s">
        <v>738</v>
      </c>
      <c r="G670" s="216"/>
      <c r="H670" s="216"/>
      <c r="I670" s="217">
        <f t="shared" si="524"/>
        <v>56202500</v>
      </c>
      <c r="J670" s="217">
        <f t="shared" si="524"/>
        <v>300000</v>
      </c>
      <c r="K670" s="217">
        <f t="shared" si="524"/>
        <v>42811750</v>
      </c>
      <c r="L670" s="217"/>
      <c r="M670" s="217"/>
      <c r="N670" s="217">
        <f t="shared" si="524"/>
        <v>43111750</v>
      </c>
      <c r="O670" s="217">
        <f t="shared" si="524"/>
        <v>13090750</v>
      </c>
      <c r="P670" s="217"/>
      <c r="Q670" s="217">
        <f t="shared" si="524"/>
        <v>43111750</v>
      </c>
      <c r="R670" s="217">
        <f t="shared" si="524"/>
        <v>0</v>
      </c>
      <c r="S670" s="217">
        <f t="shared" si="524"/>
        <v>0</v>
      </c>
      <c r="T670" s="217">
        <f t="shared" si="524"/>
        <v>0</v>
      </c>
      <c r="U670" s="217">
        <f t="shared" si="524"/>
        <v>0</v>
      </c>
      <c r="V670" s="214"/>
    </row>
    <row r="671" spans="1:22" x14ac:dyDescent="0.25">
      <c r="A671" s="232"/>
      <c r="B671" s="215" t="s">
        <v>622</v>
      </c>
      <c r="C671" s="215" t="s">
        <v>624</v>
      </c>
      <c r="D671" s="214"/>
      <c r="E671" s="216" t="s">
        <v>625</v>
      </c>
      <c r="F671" s="236"/>
      <c r="G671" s="216"/>
      <c r="H671" s="216"/>
      <c r="I671" s="217">
        <f t="shared" si="524"/>
        <v>56202500</v>
      </c>
      <c r="J671" s="217">
        <f t="shared" si="524"/>
        <v>300000</v>
      </c>
      <c r="K671" s="217">
        <f t="shared" si="524"/>
        <v>42811750</v>
      </c>
      <c r="L671" s="217"/>
      <c r="M671" s="217"/>
      <c r="N671" s="217">
        <f t="shared" si="524"/>
        <v>43111750</v>
      </c>
      <c r="O671" s="217">
        <f t="shared" si="524"/>
        <v>13090750</v>
      </c>
      <c r="P671" s="217"/>
      <c r="Q671" s="217">
        <f t="shared" si="524"/>
        <v>43111750</v>
      </c>
      <c r="R671" s="217">
        <f t="shared" si="524"/>
        <v>0</v>
      </c>
      <c r="S671" s="217">
        <f t="shared" si="524"/>
        <v>0</v>
      </c>
      <c r="T671" s="217">
        <f t="shared" si="524"/>
        <v>0</v>
      </c>
      <c r="U671" s="217">
        <f t="shared" si="524"/>
        <v>0</v>
      </c>
      <c r="V671" s="214"/>
    </row>
    <row r="672" spans="1:22" x14ac:dyDescent="0.25">
      <c r="A672" s="234"/>
      <c r="B672" s="219" t="s">
        <v>622</v>
      </c>
      <c r="C672" s="219" t="s">
        <v>626</v>
      </c>
      <c r="D672" s="218"/>
      <c r="E672" s="220" t="s">
        <v>625</v>
      </c>
      <c r="F672" s="277"/>
      <c r="G672" s="220"/>
      <c r="H672" s="220"/>
      <c r="I672" s="221">
        <f>SUM(I673)</f>
        <v>56202500</v>
      </c>
      <c r="J672" s="221">
        <f>SUM(J673)</f>
        <v>300000</v>
      </c>
      <c r="K672" s="221">
        <f>SUM(K673)</f>
        <v>42811750</v>
      </c>
      <c r="L672" s="221"/>
      <c r="M672" s="221"/>
      <c r="N672" s="221">
        <f>SUM(N673)</f>
        <v>43111750</v>
      </c>
      <c r="O672" s="221">
        <f>SUM(O673)</f>
        <v>13090750</v>
      </c>
      <c r="P672" s="221"/>
      <c r="Q672" s="221">
        <f t="shared" ref="Q672:U672" si="525">SUM(Q673)</f>
        <v>43111750</v>
      </c>
      <c r="R672" s="221">
        <f t="shared" si="525"/>
        <v>0</v>
      </c>
      <c r="S672" s="221">
        <f t="shared" si="525"/>
        <v>0</v>
      </c>
      <c r="T672" s="221">
        <f t="shared" si="525"/>
        <v>0</v>
      </c>
      <c r="U672" s="221">
        <f t="shared" si="525"/>
        <v>0</v>
      </c>
      <c r="V672" s="218"/>
    </row>
    <row r="673" spans="1:23" x14ac:dyDescent="0.25">
      <c r="A673" s="233"/>
      <c r="B673" s="223" t="s">
        <v>622</v>
      </c>
      <c r="C673" s="223" t="s">
        <v>627</v>
      </c>
      <c r="D673" s="222"/>
      <c r="E673" s="224" t="s">
        <v>625</v>
      </c>
      <c r="F673" s="258"/>
      <c r="G673" s="224"/>
      <c r="H673" s="224"/>
      <c r="I673" s="225">
        <v>56202500</v>
      </c>
      <c r="J673" s="225">
        <v>300000</v>
      </c>
      <c r="K673" s="225">
        <f>[1]Nov!I718</f>
        <v>42811750</v>
      </c>
      <c r="L673" s="225"/>
      <c r="M673" s="225"/>
      <c r="N673" s="225">
        <f t="shared" ref="N673" si="526">J673+K673</f>
        <v>43111750</v>
      </c>
      <c r="O673" s="225">
        <f t="shared" ref="O673" si="527">I673-N673</f>
        <v>13090750</v>
      </c>
      <c r="P673" s="225"/>
      <c r="Q673" s="225">
        <f>N673</f>
        <v>43111750</v>
      </c>
      <c r="R673" s="225"/>
      <c r="S673" s="225"/>
      <c r="T673" s="225"/>
      <c r="U673" s="225"/>
      <c r="V673" s="222"/>
    </row>
    <row r="674" spans="1:23" x14ac:dyDescent="0.25">
      <c r="A674" s="233"/>
      <c r="B674" s="223"/>
      <c r="C674" s="223"/>
      <c r="D674" s="222"/>
      <c r="E674" s="224"/>
      <c r="F674" s="258"/>
      <c r="G674" s="224"/>
      <c r="H674" s="224"/>
      <c r="I674" s="225"/>
      <c r="J674" s="225"/>
      <c r="K674" s="225"/>
      <c r="L674" s="225"/>
      <c r="M674" s="225"/>
      <c r="N674" s="225"/>
      <c r="O674" s="225"/>
      <c r="P674" s="225"/>
      <c r="Q674" s="225"/>
      <c r="R674" s="225"/>
      <c r="S674" s="225"/>
      <c r="T674" s="225"/>
      <c r="U674" s="225"/>
      <c r="V674" s="222"/>
    </row>
    <row r="675" spans="1:23" x14ac:dyDescent="0.25">
      <c r="A675" s="232"/>
      <c r="B675" s="215" t="s">
        <v>628</v>
      </c>
      <c r="C675" s="232"/>
      <c r="D675" s="216" t="s">
        <v>122</v>
      </c>
      <c r="E675" s="214"/>
      <c r="F675" s="291"/>
      <c r="G675" s="214"/>
      <c r="H675" s="214"/>
      <c r="I675" s="217">
        <f t="shared" ref="I675:O677" si="528">I676</f>
        <v>5000000</v>
      </c>
      <c r="J675" s="217">
        <f t="shared" si="528"/>
        <v>0</v>
      </c>
      <c r="K675" s="217">
        <f t="shared" si="528"/>
        <v>0</v>
      </c>
      <c r="L675" s="217"/>
      <c r="M675" s="217"/>
      <c r="N675" s="217">
        <f t="shared" si="528"/>
        <v>0</v>
      </c>
      <c r="O675" s="217">
        <f t="shared" si="528"/>
        <v>5000000</v>
      </c>
      <c r="P675" s="217"/>
      <c r="Q675" s="217"/>
      <c r="R675" s="217"/>
      <c r="S675" s="217"/>
      <c r="T675" s="217"/>
      <c r="U675" s="217"/>
      <c r="V675" s="214"/>
    </row>
    <row r="676" spans="1:23" ht="45" x14ac:dyDescent="0.25">
      <c r="A676" s="232"/>
      <c r="B676" s="215" t="s">
        <v>629</v>
      </c>
      <c r="C676" s="232"/>
      <c r="D676" s="214"/>
      <c r="E676" s="216" t="s">
        <v>630</v>
      </c>
      <c r="F676" s="236" t="s">
        <v>739</v>
      </c>
      <c r="G676" s="216"/>
      <c r="H676" s="216"/>
      <c r="I676" s="217">
        <f t="shared" si="528"/>
        <v>5000000</v>
      </c>
      <c r="J676" s="217">
        <f t="shared" si="528"/>
        <v>0</v>
      </c>
      <c r="K676" s="217">
        <f t="shared" si="528"/>
        <v>0</v>
      </c>
      <c r="L676" s="217"/>
      <c r="M676" s="217"/>
      <c r="N676" s="217">
        <f t="shared" si="528"/>
        <v>0</v>
      </c>
      <c r="O676" s="217">
        <f t="shared" si="528"/>
        <v>5000000</v>
      </c>
      <c r="P676" s="217"/>
      <c r="Q676" s="217"/>
      <c r="R676" s="217"/>
      <c r="S676" s="217"/>
      <c r="T676" s="217"/>
      <c r="U676" s="217"/>
      <c r="V676" s="214"/>
    </row>
    <row r="677" spans="1:23" x14ac:dyDescent="0.25">
      <c r="A677" s="232"/>
      <c r="B677" s="215" t="s">
        <v>629</v>
      </c>
      <c r="C677" s="215" t="s">
        <v>624</v>
      </c>
      <c r="D677" s="214"/>
      <c r="E677" s="216" t="s">
        <v>625</v>
      </c>
      <c r="F677" s="236"/>
      <c r="G677" s="216"/>
      <c r="H677" s="216"/>
      <c r="I677" s="217">
        <f t="shared" si="528"/>
        <v>5000000</v>
      </c>
      <c r="J677" s="217">
        <f t="shared" si="528"/>
        <v>0</v>
      </c>
      <c r="K677" s="217">
        <f t="shared" si="528"/>
        <v>0</v>
      </c>
      <c r="L677" s="217"/>
      <c r="M677" s="217"/>
      <c r="N677" s="217">
        <f t="shared" si="528"/>
        <v>0</v>
      </c>
      <c r="O677" s="217">
        <f t="shared" si="528"/>
        <v>5000000</v>
      </c>
      <c r="P677" s="217"/>
      <c r="Q677" s="217"/>
      <c r="R677" s="217"/>
      <c r="S677" s="217"/>
      <c r="T677" s="217"/>
      <c r="U677" s="217"/>
      <c r="V677" s="214"/>
    </row>
    <row r="678" spans="1:23" x14ac:dyDescent="0.25">
      <c r="A678" s="234"/>
      <c r="B678" s="219" t="s">
        <v>629</v>
      </c>
      <c r="C678" s="219" t="s">
        <v>626</v>
      </c>
      <c r="D678" s="218"/>
      <c r="E678" s="220" t="s">
        <v>625</v>
      </c>
      <c r="F678" s="277"/>
      <c r="G678" s="220"/>
      <c r="H678" s="220"/>
      <c r="I678" s="221">
        <f>SUM(I679)</f>
        <v>5000000</v>
      </c>
      <c r="J678" s="221">
        <f>SUM(J679)</f>
        <v>0</v>
      </c>
      <c r="K678" s="221">
        <f>SUM(K679)</f>
        <v>0</v>
      </c>
      <c r="L678" s="221"/>
      <c r="M678" s="221"/>
      <c r="N678" s="221">
        <f>SUM(N679)</f>
        <v>0</v>
      </c>
      <c r="O678" s="221">
        <f>SUM(O679)</f>
        <v>5000000</v>
      </c>
      <c r="P678" s="221"/>
      <c r="Q678" s="221"/>
      <c r="R678" s="221"/>
      <c r="S678" s="221"/>
      <c r="T678" s="221"/>
      <c r="U678" s="221"/>
      <c r="V678" s="218"/>
    </row>
    <row r="679" spans="1:23" x14ac:dyDescent="0.25">
      <c r="A679" s="233"/>
      <c r="B679" s="223" t="s">
        <v>629</v>
      </c>
      <c r="C679" s="223" t="s">
        <v>627</v>
      </c>
      <c r="D679" s="222"/>
      <c r="E679" s="224" t="s">
        <v>625</v>
      </c>
      <c r="F679" s="258"/>
      <c r="G679" s="224"/>
      <c r="H679" s="224"/>
      <c r="I679" s="225">
        <v>5000000</v>
      </c>
      <c r="J679" s="225">
        <v>0</v>
      </c>
      <c r="K679" s="225">
        <f>[1]Nov!I724</f>
        <v>0</v>
      </c>
      <c r="L679" s="225"/>
      <c r="M679" s="225"/>
      <c r="N679" s="225">
        <f t="shared" ref="N679" si="529">J679+K679</f>
        <v>0</v>
      </c>
      <c r="O679" s="225">
        <f t="shared" ref="O679" si="530">I679-N679</f>
        <v>5000000</v>
      </c>
      <c r="P679" s="225"/>
      <c r="Q679" s="225"/>
      <c r="R679" s="225"/>
      <c r="S679" s="225"/>
      <c r="T679" s="225"/>
      <c r="U679" s="225"/>
      <c r="V679" s="222"/>
    </row>
    <row r="680" spans="1:23" x14ac:dyDescent="0.25">
      <c r="A680" s="233"/>
      <c r="B680" s="223"/>
      <c r="C680" s="223"/>
      <c r="D680" s="222"/>
      <c r="E680" s="224"/>
      <c r="F680" s="258"/>
      <c r="G680" s="224"/>
      <c r="H680" s="224"/>
      <c r="I680" s="225"/>
      <c r="J680" s="225"/>
      <c r="K680" s="225"/>
      <c r="L680" s="225"/>
      <c r="M680" s="225"/>
      <c r="N680" s="225"/>
      <c r="O680" s="225"/>
      <c r="P680" s="225"/>
      <c r="Q680" s="225"/>
      <c r="R680" s="225"/>
      <c r="S680" s="225"/>
      <c r="T680" s="225"/>
      <c r="U680" s="225"/>
      <c r="V680" s="222"/>
    </row>
    <row r="681" spans="1:23" x14ac:dyDescent="0.25">
      <c r="A681" s="232"/>
      <c r="B681" s="215" t="s">
        <v>631</v>
      </c>
      <c r="C681" s="232"/>
      <c r="D681" s="216" t="s">
        <v>632</v>
      </c>
      <c r="E681" s="214"/>
      <c r="F681" s="291"/>
      <c r="G681" s="214"/>
      <c r="H681" s="214"/>
      <c r="I681" s="217">
        <f t="shared" ref="I681:U683" si="531">I682</f>
        <v>214200000</v>
      </c>
      <c r="J681" s="217">
        <f t="shared" si="531"/>
        <v>0</v>
      </c>
      <c r="K681" s="217">
        <f t="shared" si="531"/>
        <v>212400000</v>
      </c>
      <c r="L681" s="217"/>
      <c r="M681" s="217"/>
      <c r="N681" s="217">
        <f t="shared" si="531"/>
        <v>212400000</v>
      </c>
      <c r="O681" s="217">
        <f t="shared" si="531"/>
        <v>1800000</v>
      </c>
      <c r="P681" s="217"/>
      <c r="Q681" s="217">
        <f t="shared" si="531"/>
        <v>212400000</v>
      </c>
      <c r="R681" s="217">
        <f t="shared" si="531"/>
        <v>0</v>
      </c>
      <c r="S681" s="217">
        <f t="shared" si="531"/>
        <v>0</v>
      </c>
      <c r="T681" s="217">
        <f t="shared" si="531"/>
        <v>0</v>
      </c>
      <c r="U681" s="217">
        <f t="shared" si="531"/>
        <v>0</v>
      </c>
      <c r="V681" s="214"/>
    </row>
    <row r="682" spans="1:23" ht="45" x14ac:dyDescent="0.25">
      <c r="A682" s="232"/>
      <c r="B682" s="215" t="s">
        <v>633</v>
      </c>
      <c r="C682" s="232"/>
      <c r="D682" s="214"/>
      <c r="E682" s="216" t="s">
        <v>634</v>
      </c>
      <c r="F682" s="236" t="s">
        <v>740</v>
      </c>
      <c r="G682" s="216"/>
      <c r="H682" s="216"/>
      <c r="I682" s="217">
        <f t="shared" si="531"/>
        <v>214200000</v>
      </c>
      <c r="J682" s="217">
        <f t="shared" si="531"/>
        <v>0</v>
      </c>
      <c r="K682" s="217">
        <f t="shared" si="531"/>
        <v>212400000</v>
      </c>
      <c r="L682" s="217"/>
      <c r="M682" s="217"/>
      <c r="N682" s="217">
        <f t="shared" si="531"/>
        <v>212400000</v>
      </c>
      <c r="O682" s="217">
        <f t="shared" si="531"/>
        <v>1800000</v>
      </c>
      <c r="P682" s="217"/>
      <c r="Q682" s="217">
        <f t="shared" si="531"/>
        <v>212400000</v>
      </c>
      <c r="R682" s="217">
        <f t="shared" si="531"/>
        <v>0</v>
      </c>
      <c r="S682" s="217">
        <f t="shared" si="531"/>
        <v>0</v>
      </c>
      <c r="T682" s="217">
        <f t="shared" si="531"/>
        <v>0</v>
      </c>
      <c r="U682" s="217">
        <f t="shared" si="531"/>
        <v>0</v>
      </c>
      <c r="V682" s="214"/>
    </row>
    <row r="683" spans="1:23" x14ac:dyDescent="0.25">
      <c r="A683" s="232"/>
      <c r="B683" s="215" t="s">
        <v>633</v>
      </c>
      <c r="C683" s="215" t="s">
        <v>624</v>
      </c>
      <c r="D683" s="214"/>
      <c r="E683" s="216" t="s">
        <v>625</v>
      </c>
      <c r="F683" s="236"/>
      <c r="G683" s="216"/>
      <c r="H683" s="216"/>
      <c r="I683" s="217">
        <f t="shared" si="531"/>
        <v>214200000</v>
      </c>
      <c r="J683" s="217">
        <f t="shared" si="531"/>
        <v>0</v>
      </c>
      <c r="K683" s="217">
        <f t="shared" si="531"/>
        <v>212400000</v>
      </c>
      <c r="L683" s="217"/>
      <c r="M683" s="217"/>
      <c r="N683" s="217">
        <f t="shared" si="531"/>
        <v>212400000</v>
      </c>
      <c r="O683" s="217">
        <f t="shared" si="531"/>
        <v>1800000</v>
      </c>
      <c r="P683" s="217"/>
      <c r="Q683" s="217">
        <f t="shared" si="531"/>
        <v>212400000</v>
      </c>
      <c r="R683" s="217">
        <f t="shared" si="531"/>
        <v>0</v>
      </c>
      <c r="S683" s="217">
        <f t="shared" si="531"/>
        <v>0</v>
      </c>
      <c r="T683" s="217">
        <f t="shared" si="531"/>
        <v>0</v>
      </c>
      <c r="U683" s="217">
        <f t="shared" si="531"/>
        <v>0</v>
      </c>
      <c r="V683" s="214"/>
    </row>
    <row r="684" spans="1:23" x14ac:dyDescent="0.25">
      <c r="A684" s="234"/>
      <c r="B684" s="219" t="s">
        <v>633</v>
      </c>
      <c r="C684" s="219" t="s">
        <v>626</v>
      </c>
      <c r="D684" s="218"/>
      <c r="E684" s="220" t="s">
        <v>625</v>
      </c>
      <c r="F684" s="277"/>
      <c r="G684" s="220"/>
      <c r="H684" s="220"/>
      <c r="I684" s="221">
        <f>SUM(I685)</f>
        <v>214200000</v>
      </c>
      <c r="J684" s="221">
        <f>SUM(J685)</f>
        <v>0</v>
      </c>
      <c r="K684" s="221">
        <f>SUM(K685)</f>
        <v>212400000</v>
      </c>
      <c r="L684" s="221"/>
      <c r="M684" s="221"/>
      <c r="N684" s="221">
        <f>SUM(N685)</f>
        <v>212400000</v>
      </c>
      <c r="O684" s="221">
        <f>SUM(O685)</f>
        <v>1800000</v>
      </c>
      <c r="P684" s="221"/>
      <c r="Q684" s="221">
        <f t="shared" ref="Q684:U684" si="532">SUM(Q685)</f>
        <v>212400000</v>
      </c>
      <c r="R684" s="221">
        <f t="shared" si="532"/>
        <v>0</v>
      </c>
      <c r="S684" s="221">
        <f t="shared" si="532"/>
        <v>0</v>
      </c>
      <c r="T684" s="221">
        <f t="shared" si="532"/>
        <v>0</v>
      </c>
      <c r="U684" s="221">
        <f t="shared" si="532"/>
        <v>0</v>
      </c>
      <c r="V684" s="218"/>
    </row>
    <row r="685" spans="1:23" x14ac:dyDescent="0.25">
      <c r="A685" s="243"/>
      <c r="B685" s="244" t="s">
        <v>633</v>
      </c>
      <c r="C685" s="244" t="s">
        <v>627</v>
      </c>
      <c r="D685" s="245"/>
      <c r="E685" s="246" t="s">
        <v>625</v>
      </c>
      <c r="F685" s="295"/>
      <c r="G685" s="246"/>
      <c r="H685" s="246"/>
      <c r="I685" s="247">
        <v>214200000</v>
      </c>
      <c r="J685" s="247">
        <v>0</v>
      </c>
      <c r="K685" s="225">
        <f>[1]Nov!I730</f>
        <v>212400000</v>
      </c>
      <c r="L685" s="247"/>
      <c r="M685" s="247"/>
      <c r="N685" s="247">
        <f t="shared" ref="N685" si="533">J685+K685</f>
        <v>212400000</v>
      </c>
      <c r="O685" s="247">
        <f t="shared" ref="O685" si="534">I685-N685</f>
        <v>1800000</v>
      </c>
      <c r="P685" s="247"/>
      <c r="Q685" s="247">
        <f>N685</f>
        <v>212400000</v>
      </c>
      <c r="R685" s="247"/>
      <c r="S685" s="247"/>
      <c r="T685" s="247"/>
      <c r="U685" s="247"/>
      <c r="V685" s="245"/>
    </row>
    <row r="686" spans="1:23" x14ac:dyDescent="0.25">
      <c r="A686" s="264"/>
      <c r="B686" s="264"/>
      <c r="C686" s="264"/>
      <c r="D686" s="265"/>
      <c r="E686" s="266" t="s">
        <v>20</v>
      </c>
      <c r="F686" s="316"/>
      <c r="G686" s="266"/>
      <c r="H686" s="266"/>
      <c r="I686" s="267">
        <f>I53+I256+I472+I579+I668</f>
        <v>2109924518</v>
      </c>
      <c r="J686" s="267">
        <f>J53+J256+J472+J579+J668</f>
        <v>318810271</v>
      </c>
      <c r="K686" s="267">
        <f>K53+K256+K472+K579+K668</f>
        <v>1445444482</v>
      </c>
      <c r="L686" s="267"/>
      <c r="M686" s="267"/>
      <c r="N686" s="267">
        <f>N53+N256+N472+N579+N668</f>
        <v>1764254753</v>
      </c>
      <c r="O686" s="267">
        <f>O53+O256+O472+O579+O668</f>
        <v>345669765</v>
      </c>
      <c r="P686" s="267"/>
      <c r="Q686" s="267">
        <f t="shared" ref="Q686:U686" si="535">Q53+Q256+Q472+Q579+Q668</f>
        <v>891370850</v>
      </c>
      <c r="R686" s="267">
        <f t="shared" si="535"/>
        <v>725419619</v>
      </c>
      <c r="S686" s="267">
        <f t="shared" si="535"/>
        <v>38153324</v>
      </c>
      <c r="T686" s="267">
        <f t="shared" si="535"/>
        <v>27762000</v>
      </c>
      <c r="U686" s="267">
        <f t="shared" si="535"/>
        <v>81548960</v>
      </c>
      <c r="V686" s="265"/>
      <c r="W686" s="287">
        <f>SUM(W53:W685)</f>
        <v>4958075</v>
      </c>
    </row>
    <row r="687" spans="1:23" s="13" customFormat="1" x14ac:dyDescent="0.25">
      <c r="A687" s="300"/>
      <c r="B687" s="300"/>
      <c r="C687" s="300"/>
      <c r="D687" s="300"/>
      <c r="E687" s="300" t="s">
        <v>663</v>
      </c>
      <c r="F687" s="317"/>
      <c r="G687" s="300"/>
      <c r="H687" s="300"/>
      <c r="I687" s="301">
        <f>I18-I686</f>
        <v>-44436318</v>
      </c>
      <c r="J687" s="300"/>
      <c r="K687" s="300"/>
      <c r="L687" s="300"/>
      <c r="M687" s="300"/>
      <c r="N687" s="301">
        <f>N18-N686</f>
        <v>76601706</v>
      </c>
      <c r="O687" s="302"/>
      <c r="P687" s="302"/>
      <c r="Q687" s="301">
        <f t="shared" ref="Q687:U687" si="536">Q18-Q686</f>
        <v>76715150</v>
      </c>
      <c r="R687" s="301">
        <f t="shared" si="536"/>
        <v>-910944</v>
      </c>
      <c r="S687" s="301">
        <f t="shared" si="536"/>
        <v>-8306740</v>
      </c>
      <c r="T687" s="301">
        <f t="shared" si="536"/>
        <v>20820800</v>
      </c>
      <c r="U687" s="301">
        <f t="shared" si="536"/>
        <v>-11716560</v>
      </c>
      <c r="V687" s="300"/>
      <c r="W687" s="303"/>
    </row>
    <row r="688" spans="1:23" s="13" customFormat="1" x14ac:dyDescent="0.25">
      <c r="A688" s="300"/>
      <c r="B688" s="300"/>
      <c r="C688" s="305">
        <v>6</v>
      </c>
      <c r="D688" s="300"/>
      <c r="E688" s="300" t="s">
        <v>22</v>
      </c>
      <c r="F688" s="317"/>
      <c r="G688" s="300"/>
      <c r="H688" s="300"/>
      <c r="I688" s="301">
        <f>I689-I692</f>
        <v>44436318</v>
      </c>
      <c r="J688" s="300"/>
      <c r="K688" s="300"/>
      <c r="L688" s="300"/>
      <c r="M688" s="300"/>
      <c r="N688" s="301">
        <f>N689-N692</f>
        <v>44436318</v>
      </c>
      <c r="O688" s="300"/>
      <c r="P688" s="300"/>
      <c r="Q688" s="301">
        <f t="shared" ref="Q688:U688" si="537">Q689-Q692</f>
        <v>12947000</v>
      </c>
      <c r="R688" s="301">
        <f t="shared" si="537"/>
        <v>5165825</v>
      </c>
      <c r="S688" s="301">
        <f t="shared" si="537"/>
        <v>8901358</v>
      </c>
      <c r="T688" s="301">
        <f t="shared" si="537"/>
        <v>1220000</v>
      </c>
      <c r="U688" s="301">
        <f t="shared" si="537"/>
        <v>16202135</v>
      </c>
      <c r="V688" s="300"/>
      <c r="W688" s="303"/>
    </row>
    <row r="689" spans="1:23" s="13" customFormat="1" x14ac:dyDescent="0.25">
      <c r="A689" s="300"/>
      <c r="B689" s="300"/>
      <c r="C689" s="304" t="s">
        <v>668</v>
      </c>
      <c r="D689" s="300"/>
      <c r="E689" s="300" t="s">
        <v>23</v>
      </c>
      <c r="F689" s="317"/>
      <c r="G689" s="300"/>
      <c r="H689" s="300"/>
      <c r="I689" s="301">
        <f>I690+I691</f>
        <v>44436318</v>
      </c>
      <c r="J689" s="300"/>
      <c r="K689" s="300"/>
      <c r="L689" s="300"/>
      <c r="M689" s="300"/>
      <c r="N689" s="301">
        <f>N690+N691</f>
        <v>44436318</v>
      </c>
      <c r="O689" s="300"/>
      <c r="P689" s="300"/>
      <c r="Q689" s="301">
        <f t="shared" ref="Q689:U689" si="538">Q690+Q691</f>
        <v>12947000</v>
      </c>
      <c r="R689" s="301">
        <f t="shared" si="538"/>
        <v>5165825</v>
      </c>
      <c r="S689" s="301">
        <f t="shared" si="538"/>
        <v>8901358</v>
      </c>
      <c r="T689" s="301">
        <f t="shared" si="538"/>
        <v>1220000</v>
      </c>
      <c r="U689" s="301">
        <f t="shared" si="538"/>
        <v>16202135</v>
      </c>
      <c r="V689" s="300"/>
      <c r="W689" s="303"/>
    </row>
    <row r="690" spans="1:23" x14ac:dyDescent="0.25">
      <c r="A690" s="298"/>
      <c r="B690" s="298"/>
      <c r="C690" s="289" t="s">
        <v>669</v>
      </c>
      <c r="D690" s="298"/>
      <c r="E690" s="298" t="s">
        <v>664</v>
      </c>
      <c r="F690" s="318"/>
      <c r="G690" s="298"/>
      <c r="H690" s="298"/>
      <c r="I690" s="299">
        <v>44436318</v>
      </c>
      <c r="J690" s="298"/>
      <c r="K690" s="298"/>
      <c r="L690" s="298"/>
      <c r="M690" s="298"/>
      <c r="N690" s="299">
        <v>44436318</v>
      </c>
      <c r="O690" s="298"/>
      <c r="P690" s="298"/>
      <c r="Q690" s="299">
        <v>12947000</v>
      </c>
      <c r="R690" s="299">
        <v>5165825</v>
      </c>
      <c r="S690" s="299">
        <v>8901358</v>
      </c>
      <c r="T690" s="299">
        <v>1220000</v>
      </c>
      <c r="U690" s="299">
        <f>16027635+174500</f>
        <v>16202135</v>
      </c>
      <c r="V690" s="298"/>
    </row>
    <row r="691" spans="1:23" x14ac:dyDescent="0.25">
      <c r="A691" s="298"/>
      <c r="B691" s="298"/>
      <c r="C691" s="289" t="s">
        <v>670</v>
      </c>
      <c r="D691" s="298"/>
      <c r="E691" s="298" t="s">
        <v>665</v>
      </c>
      <c r="F691" s="318"/>
      <c r="G691" s="298"/>
      <c r="H691" s="298"/>
      <c r="I691" s="299"/>
      <c r="J691" s="298"/>
      <c r="K691" s="298"/>
      <c r="L691" s="298"/>
      <c r="M691" s="298"/>
      <c r="N691" s="299"/>
      <c r="O691" s="298"/>
      <c r="P691" s="298"/>
      <c r="Q691" s="299"/>
      <c r="R691" s="299"/>
      <c r="S691" s="299"/>
      <c r="T691" s="299"/>
      <c r="U691" s="299"/>
      <c r="V691" s="298"/>
    </row>
    <row r="692" spans="1:23" s="13" customFormat="1" x14ac:dyDescent="0.25">
      <c r="A692" s="300"/>
      <c r="B692" s="300"/>
      <c r="C692" s="304" t="s">
        <v>671</v>
      </c>
      <c r="D692" s="300"/>
      <c r="E692" s="300" t="s">
        <v>24</v>
      </c>
      <c r="F692" s="317"/>
      <c r="G692" s="300"/>
      <c r="H692" s="300"/>
      <c r="I692" s="301">
        <f>I693+I694</f>
        <v>0</v>
      </c>
      <c r="J692" s="300"/>
      <c r="K692" s="300"/>
      <c r="L692" s="300"/>
      <c r="M692" s="300"/>
      <c r="N692" s="301">
        <f>N693+N694</f>
        <v>0</v>
      </c>
      <c r="O692" s="300"/>
      <c r="P692" s="300"/>
      <c r="Q692" s="301"/>
      <c r="R692" s="301"/>
      <c r="S692" s="301"/>
      <c r="T692" s="301"/>
      <c r="U692" s="301"/>
      <c r="V692" s="300"/>
      <c r="W692" s="303"/>
    </row>
    <row r="693" spans="1:23" x14ac:dyDescent="0.25">
      <c r="A693" s="298"/>
      <c r="B693" s="298"/>
      <c r="C693" s="289" t="s">
        <v>672</v>
      </c>
      <c r="D693" s="298"/>
      <c r="E693" s="298" t="s">
        <v>666</v>
      </c>
      <c r="F693" s="318"/>
      <c r="G693" s="298"/>
      <c r="H693" s="298"/>
      <c r="I693" s="299"/>
      <c r="J693" s="298"/>
      <c r="K693" s="298"/>
      <c r="L693" s="298"/>
      <c r="M693" s="298"/>
      <c r="N693" s="299"/>
      <c r="O693" s="298"/>
      <c r="P693" s="298"/>
      <c r="Q693" s="299"/>
      <c r="R693" s="299"/>
      <c r="S693" s="299"/>
      <c r="T693" s="299"/>
      <c r="U693" s="299"/>
      <c r="V693" s="298"/>
    </row>
    <row r="694" spans="1:23" x14ac:dyDescent="0.25">
      <c r="A694" s="298"/>
      <c r="B694" s="298"/>
      <c r="C694" s="289" t="s">
        <v>673</v>
      </c>
      <c r="D694" s="298"/>
      <c r="E694" s="298" t="s">
        <v>137</v>
      </c>
      <c r="F694" s="318"/>
      <c r="G694" s="298"/>
      <c r="H694" s="298"/>
      <c r="I694" s="299"/>
      <c r="J694" s="298"/>
      <c r="K694" s="298"/>
      <c r="L694" s="298"/>
      <c r="M694" s="298"/>
      <c r="N694" s="299"/>
      <c r="O694" s="298"/>
      <c r="P694" s="298"/>
      <c r="Q694" s="299"/>
      <c r="R694" s="299"/>
      <c r="S694" s="299"/>
      <c r="T694" s="299"/>
      <c r="U694" s="299"/>
      <c r="V694" s="298"/>
    </row>
    <row r="695" spans="1:23" s="13" customFormat="1" x14ac:dyDescent="0.25">
      <c r="A695" s="300"/>
      <c r="B695" s="300"/>
      <c r="C695" s="304"/>
      <c r="D695" s="300"/>
      <c r="E695" s="300" t="s">
        <v>667</v>
      </c>
      <c r="F695" s="317"/>
      <c r="G695" s="300"/>
      <c r="H695" s="300"/>
      <c r="I695" s="301">
        <f>I689-I692</f>
        <v>44436318</v>
      </c>
      <c r="J695" s="300"/>
      <c r="K695" s="300"/>
      <c r="L695" s="300"/>
      <c r="M695" s="300"/>
      <c r="N695" s="301">
        <f>N689-N692</f>
        <v>44436318</v>
      </c>
      <c r="O695" s="300"/>
      <c r="P695" s="300"/>
      <c r="Q695" s="301">
        <f t="shared" ref="Q695:U695" si="539">Q689-Q692</f>
        <v>12947000</v>
      </c>
      <c r="R695" s="301">
        <f t="shared" si="539"/>
        <v>5165825</v>
      </c>
      <c r="S695" s="301">
        <f t="shared" si="539"/>
        <v>8901358</v>
      </c>
      <c r="T695" s="301">
        <f t="shared" si="539"/>
        <v>1220000</v>
      </c>
      <c r="U695" s="301">
        <f t="shared" si="539"/>
        <v>16202135</v>
      </c>
      <c r="V695" s="300"/>
      <c r="W695" s="303"/>
    </row>
    <row r="696" spans="1:23" s="13" customFormat="1" x14ac:dyDescent="0.25">
      <c r="A696" s="300"/>
      <c r="B696" s="300"/>
      <c r="C696" s="304"/>
      <c r="D696" s="300"/>
      <c r="E696" s="300" t="s">
        <v>25</v>
      </c>
      <c r="F696" s="317"/>
      <c r="G696" s="300"/>
      <c r="H696" s="300"/>
      <c r="I696" s="301"/>
      <c r="J696" s="300"/>
      <c r="K696" s="300"/>
      <c r="L696" s="300"/>
      <c r="M696" s="300"/>
      <c r="N696" s="302">
        <f>N687+N695</f>
        <v>121038024</v>
      </c>
      <c r="O696" s="300"/>
      <c r="P696" s="300"/>
      <c r="Q696" s="307">
        <f t="shared" ref="Q696:U696" si="540">Q687+Q695</f>
        <v>89662150</v>
      </c>
      <c r="R696" s="307">
        <f t="shared" si="540"/>
        <v>4254881</v>
      </c>
      <c r="S696" s="307">
        <f t="shared" si="540"/>
        <v>594618</v>
      </c>
      <c r="T696" s="302">
        <f t="shared" si="540"/>
        <v>22040800</v>
      </c>
      <c r="U696" s="302">
        <f t="shared" si="540"/>
        <v>4485575</v>
      </c>
      <c r="V696" s="300"/>
      <c r="W696" s="303"/>
    </row>
    <row r="699" spans="1:23" x14ac:dyDescent="0.25">
      <c r="S699" s="306" t="s">
        <v>1037</v>
      </c>
    </row>
    <row r="700" spans="1:23" x14ac:dyDescent="0.25">
      <c r="S700" s="306" t="s">
        <v>635</v>
      </c>
    </row>
    <row r="701" spans="1:23" x14ac:dyDescent="0.25">
      <c r="S701" s="306"/>
    </row>
    <row r="702" spans="1:23" x14ac:dyDescent="0.25">
      <c r="S702" s="306"/>
    </row>
    <row r="703" spans="1:23" x14ac:dyDescent="0.25">
      <c r="S703" s="306"/>
    </row>
    <row r="704" spans="1:23" x14ac:dyDescent="0.25">
      <c r="S704" s="306"/>
    </row>
    <row r="705" spans="19:19" x14ac:dyDescent="0.25">
      <c r="S705" s="306" t="s">
        <v>184</v>
      </c>
    </row>
  </sheetData>
  <mergeCells count="14">
    <mergeCell ref="D132:E132"/>
    <mergeCell ref="D157:E157"/>
    <mergeCell ref="D54:E54"/>
    <mergeCell ref="A7:V7"/>
    <mergeCell ref="A8:V8"/>
    <mergeCell ref="A9:V9"/>
    <mergeCell ref="A15:A17"/>
    <mergeCell ref="B15:C17"/>
    <mergeCell ref="D15:E17"/>
    <mergeCell ref="V15:V17"/>
    <mergeCell ref="F15:F17"/>
    <mergeCell ref="G15:I16"/>
    <mergeCell ref="L15:P16"/>
    <mergeCell ref="Q15:U16"/>
  </mergeCells>
  <pageMargins left="0.39370078740157483" right="1.1023622047244095" top="0.39370078740157483" bottom="0.39370078740157483" header="0.31496062992125984" footer="0.31496062992125984"/>
  <pageSetup paperSize="5" scale="55"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22" workbookViewId="0">
      <selection activeCell="G30" sqref="G30"/>
    </sheetView>
  </sheetViews>
  <sheetFormatPr defaultRowHeight="15.75" x14ac:dyDescent="0.25"/>
  <cols>
    <col min="1" max="1" width="5.28515625" style="195" customWidth="1"/>
    <col min="2" max="2" width="20.42578125" style="195" customWidth="1"/>
    <col min="3" max="3" width="15.7109375" style="195" customWidth="1"/>
    <col min="4" max="4" width="13" style="195" customWidth="1"/>
    <col min="5" max="5" width="11.85546875" style="195" customWidth="1"/>
    <col min="6" max="6" width="16.7109375" style="196" customWidth="1"/>
    <col min="7" max="7" width="20" style="196" customWidth="1"/>
    <col min="8" max="8" width="17.42578125" style="195" customWidth="1"/>
  </cols>
  <sheetData>
    <row r="1" spans="1:8" x14ac:dyDescent="0.25">
      <c r="A1" s="59"/>
      <c r="B1" s="59"/>
      <c r="C1" s="59"/>
      <c r="D1" s="59"/>
      <c r="E1" s="194" t="s">
        <v>228</v>
      </c>
      <c r="F1" s="194"/>
      <c r="G1" s="194"/>
      <c r="H1" s="59"/>
    </row>
    <row r="2" spans="1:8" x14ac:dyDescent="0.25">
      <c r="E2" s="196" t="s">
        <v>255</v>
      </c>
    </row>
    <row r="3" spans="1:8" x14ac:dyDescent="0.25">
      <c r="E3" s="196" t="s">
        <v>256</v>
      </c>
    </row>
    <row r="4" spans="1:8" x14ac:dyDescent="0.25">
      <c r="E4" s="196" t="s">
        <v>229</v>
      </c>
    </row>
    <row r="5" spans="1:8" x14ac:dyDescent="0.25">
      <c r="E5" s="196" t="s">
        <v>230</v>
      </c>
    </row>
    <row r="6" spans="1:8" x14ac:dyDescent="0.25">
      <c r="E6" s="196" t="s">
        <v>231</v>
      </c>
    </row>
    <row r="7" spans="1:8" x14ac:dyDescent="0.25">
      <c r="E7" s="196" t="s">
        <v>257</v>
      </c>
    </row>
    <row r="9" spans="1:8" x14ac:dyDescent="0.25">
      <c r="A9" s="521" t="s">
        <v>258</v>
      </c>
      <c r="B9" s="521"/>
      <c r="C9" s="521"/>
      <c r="D9" s="521"/>
      <c r="E9" s="521"/>
      <c r="F9" s="521"/>
      <c r="G9" s="521"/>
      <c r="H9" s="521"/>
    </row>
    <row r="10" spans="1:8" x14ac:dyDescent="0.25">
      <c r="A10" s="522"/>
      <c r="B10" s="522"/>
      <c r="C10" s="522"/>
    </row>
    <row r="11" spans="1:8" x14ac:dyDescent="0.25">
      <c r="A11" s="197" t="s">
        <v>259</v>
      </c>
      <c r="B11" s="197"/>
      <c r="C11" s="195" t="s">
        <v>232</v>
      </c>
    </row>
    <row r="12" spans="1:8" x14ac:dyDescent="0.25">
      <c r="A12" s="197" t="s">
        <v>260</v>
      </c>
      <c r="B12" s="197"/>
      <c r="C12" s="195" t="s">
        <v>233</v>
      </c>
    </row>
    <row r="13" spans="1:8" x14ac:dyDescent="0.25">
      <c r="A13" s="197" t="s">
        <v>234</v>
      </c>
      <c r="B13" s="197"/>
      <c r="C13" s="195" t="s">
        <v>235</v>
      </c>
    </row>
    <row r="14" spans="1:8" x14ac:dyDescent="0.25">
      <c r="A14" s="198" t="s">
        <v>236</v>
      </c>
      <c r="B14" s="198"/>
      <c r="C14" s="195" t="s">
        <v>237</v>
      </c>
    </row>
    <row r="17" spans="1:8" x14ac:dyDescent="0.25">
      <c r="A17" s="523" t="s">
        <v>238</v>
      </c>
      <c r="B17" s="523" t="s">
        <v>239</v>
      </c>
      <c r="C17" s="525" t="s">
        <v>240</v>
      </c>
      <c r="D17" s="526"/>
      <c r="E17" s="526"/>
      <c r="F17" s="527"/>
      <c r="G17" s="528" t="s">
        <v>12</v>
      </c>
      <c r="H17" s="529"/>
    </row>
    <row r="18" spans="1:8" x14ac:dyDescent="0.25">
      <c r="A18" s="524"/>
      <c r="B18" s="524"/>
      <c r="C18" s="199" t="s">
        <v>241</v>
      </c>
      <c r="D18" s="199" t="s">
        <v>242</v>
      </c>
      <c r="E18" s="199" t="s">
        <v>243</v>
      </c>
      <c r="F18" s="200" t="s">
        <v>244</v>
      </c>
      <c r="G18" s="201" t="s">
        <v>245</v>
      </c>
      <c r="H18" s="202" t="s">
        <v>246</v>
      </c>
    </row>
    <row r="19" spans="1:8" ht="47.25" x14ac:dyDescent="0.25">
      <c r="A19" s="203">
        <v>1</v>
      </c>
      <c r="B19" s="204" t="s">
        <v>264</v>
      </c>
      <c r="C19" s="204" t="s">
        <v>261</v>
      </c>
      <c r="D19" s="204" t="s">
        <v>262</v>
      </c>
      <c r="E19" s="203" t="s">
        <v>263</v>
      </c>
      <c r="F19" s="205">
        <v>600000</v>
      </c>
      <c r="G19" s="206">
        <f>126*600000*3</f>
        <v>226800000</v>
      </c>
      <c r="H19" s="203" t="s">
        <v>274</v>
      </c>
    </row>
    <row r="20" spans="1:8" ht="47.25" x14ac:dyDescent="0.25">
      <c r="A20" s="203">
        <v>2</v>
      </c>
      <c r="B20" s="204" t="s">
        <v>265</v>
      </c>
      <c r="C20" s="204" t="s">
        <v>261</v>
      </c>
      <c r="D20" s="204" t="s">
        <v>262</v>
      </c>
      <c r="E20" s="203" t="s">
        <v>263</v>
      </c>
      <c r="F20" s="205">
        <v>300000</v>
      </c>
      <c r="G20" s="205">
        <f>126*300000*5</f>
        <v>189000000</v>
      </c>
      <c r="H20" s="203" t="s">
        <v>274</v>
      </c>
    </row>
    <row r="21" spans="1:8" ht="63" x14ac:dyDescent="0.25">
      <c r="A21" s="203">
        <v>3</v>
      </c>
      <c r="B21" s="204" t="s">
        <v>266</v>
      </c>
      <c r="C21" s="204" t="s">
        <v>261</v>
      </c>
      <c r="D21" s="204" t="s">
        <v>262</v>
      </c>
      <c r="E21" s="203" t="s">
        <v>267</v>
      </c>
      <c r="F21" s="205">
        <v>300000</v>
      </c>
      <c r="G21" s="205">
        <f>21*300000</f>
        <v>6300000</v>
      </c>
      <c r="H21" s="203" t="s">
        <v>275</v>
      </c>
    </row>
    <row r="22" spans="1:8" ht="31.5" x14ac:dyDescent="0.25">
      <c r="A22" s="203">
        <v>4</v>
      </c>
      <c r="B22" s="204" t="s">
        <v>268</v>
      </c>
      <c r="C22" s="204" t="s">
        <v>261</v>
      </c>
      <c r="D22" s="204" t="s">
        <v>262</v>
      </c>
      <c r="E22" s="203" t="s">
        <v>269</v>
      </c>
      <c r="F22" s="205">
        <v>600000</v>
      </c>
      <c r="G22" s="206">
        <f>45*600000</f>
        <v>27000000</v>
      </c>
      <c r="H22" s="203" t="s">
        <v>275</v>
      </c>
    </row>
    <row r="23" spans="1:8" ht="63" x14ac:dyDescent="0.25">
      <c r="A23" s="203">
        <v>5</v>
      </c>
      <c r="B23" s="204" t="s">
        <v>277</v>
      </c>
      <c r="C23" s="204" t="s">
        <v>261</v>
      </c>
      <c r="D23" s="204" t="s">
        <v>262</v>
      </c>
      <c r="E23" s="203" t="s">
        <v>1038</v>
      </c>
      <c r="F23" s="205">
        <v>400000</v>
      </c>
      <c r="G23" s="206">
        <f>106*3*400000</f>
        <v>127200000</v>
      </c>
      <c r="H23" s="203" t="s">
        <v>276</v>
      </c>
    </row>
    <row r="24" spans="1:8" ht="31.5" x14ac:dyDescent="0.25">
      <c r="A24" s="203">
        <v>6</v>
      </c>
      <c r="B24" s="204" t="s">
        <v>270</v>
      </c>
      <c r="C24" s="204" t="s">
        <v>271</v>
      </c>
      <c r="D24" s="204" t="s">
        <v>262</v>
      </c>
      <c r="E24" s="203" t="s">
        <v>272</v>
      </c>
      <c r="F24" s="205">
        <v>665000</v>
      </c>
      <c r="G24" s="206">
        <f>40*665000</f>
        <v>26600000</v>
      </c>
      <c r="H24" s="203" t="s">
        <v>276</v>
      </c>
    </row>
    <row r="25" spans="1:8" ht="47.25" x14ac:dyDescent="0.25">
      <c r="A25" s="203">
        <v>7</v>
      </c>
      <c r="B25" s="204" t="s">
        <v>248</v>
      </c>
      <c r="C25" s="204" t="s">
        <v>249</v>
      </c>
      <c r="D25" s="204" t="s">
        <v>262</v>
      </c>
      <c r="E25" s="203" t="s">
        <v>674</v>
      </c>
      <c r="F25" s="205">
        <v>2000000</v>
      </c>
      <c r="G25" s="206">
        <f>246*2000000</f>
        <v>492000000</v>
      </c>
      <c r="H25" s="203" t="s">
        <v>274</v>
      </c>
    </row>
    <row r="26" spans="1:8" ht="47.25" x14ac:dyDescent="0.25">
      <c r="A26" s="203">
        <v>8</v>
      </c>
      <c r="B26" s="204" t="s">
        <v>250</v>
      </c>
      <c r="C26" s="204" t="s">
        <v>251</v>
      </c>
      <c r="D26" s="204" t="s">
        <v>262</v>
      </c>
      <c r="E26" s="203" t="s">
        <v>252</v>
      </c>
      <c r="F26" s="205">
        <f>200000*12</f>
        <v>2400000</v>
      </c>
      <c r="G26" s="206">
        <f>397*1320000</f>
        <v>524040000</v>
      </c>
      <c r="H26" s="203" t="s">
        <v>274</v>
      </c>
    </row>
    <row r="27" spans="1:8" ht="47.25" x14ac:dyDescent="0.25">
      <c r="A27" s="203">
        <v>9</v>
      </c>
      <c r="B27" s="204" t="s">
        <v>253</v>
      </c>
      <c r="C27" s="204" t="s">
        <v>254</v>
      </c>
      <c r="D27" s="204" t="s">
        <v>262</v>
      </c>
      <c r="E27" s="203" t="s">
        <v>273</v>
      </c>
      <c r="F27" s="205">
        <v>60000</v>
      </c>
      <c r="G27" s="206">
        <f>225*60000</f>
        <v>13500000</v>
      </c>
      <c r="H27" s="203" t="s">
        <v>247</v>
      </c>
    </row>
    <row r="28" spans="1:8" x14ac:dyDescent="0.25">
      <c r="A28" s="487"/>
      <c r="B28" s="530" t="s">
        <v>1039</v>
      </c>
      <c r="C28" s="531"/>
      <c r="D28" s="531"/>
      <c r="E28" s="531"/>
      <c r="F28" s="532"/>
      <c r="G28" s="488">
        <f>SUM(G19:G27)</f>
        <v>1632440000</v>
      </c>
      <c r="H28" s="487"/>
    </row>
    <row r="31" spans="1:8" x14ac:dyDescent="0.25">
      <c r="F31" s="520" t="s">
        <v>1036</v>
      </c>
      <c r="G31" s="520"/>
      <c r="H31" s="520"/>
    </row>
    <row r="32" spans="1:8" x14ac:dyDescent="0.25">
      <c r="F32" s="508" t="s">
        <v>278</v>
      </c>
      <c r="G32" s="508"/>
      <c r="H32" s="508"/>
    </row>
    <row r="36" spans="6:8" x14ac:dyDescent="0.25">
      <c r="F36" s="521" t="s">
        <v>184</v>
      </c>
      <c r="G36" s="521"/>
      <c r="H36" s="521"/>
    </row>
  </sheetData>
  <mergeCells count="10">
    <mergeCell ref="F31:H31"/>
    <mergeCell ref="F32:H32"/>
    <mergeCell ref="F36:H36"/>
    <mergeCell ref="A9:H9"/>
    <mergeCell ref="A10:C10"/>
    <mergeCell ref="A17:A18"/>
    <mergeCell ref="B17:B18"/>
    <mergeCell ref="C17:F17"/>
    <mergeCell ref="G17:H17"/>
    <mergeCell ref="B28:F28"/>
  </mergeCells>
  <pageMargins left="0.70866141732283472" right="0.19685039370078741" top="0.74803149606299213" bottom="0.74803149606299213" header="0.31496062992125984" footer="0.31496062992125984"/>
  <pageSetup paperSize="9" scale="7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
  <sheetViews>
    <sheetView topLeftCell="A200" zoomScale="80" zoomScaleNormal="80" workbookViewId="0">
      <selection activeCell="B222" sqref="B222"/>
    </sheetView>
  </sheetViews>
  <sheetFormatPr defaultRowHeight="15" x14ac:dyDescent="0.25"/>
  <cols>
    <col min="1" max="1" width="7.28515625" style="322" customWidth="1"/>
    <col min="2" max="2" width="52.140625" customWidth="1"/>
    <col min="3" max="3" width="14.140625" customWidth="1"/>
    <col min="4" max="4" width="17" customWidth="1"/>
    <col min="5" max="5" width="13.42578125" style="323" customWidth="1"/>
    <col min="6" max="6" width="14.140625" style="324" customWidth="1"/>
    <col min="7" max="7" width="13.7109375" style="325" customWidth="1"/>
    <col min="8" max="8" width="21" style="388" customWidth="1"/>
    <col min="9" max="9" width="12.85546875" customWidth="1"/>
    <col min="10" max="10" width="30.85546875" style="324" customWidth="1"/>
    <col min="12" max="12" width="18.140625" bestFit="1" customWidth="1"/>
    <col min="14" max="14" width="16.28515625" bestFit="1" customWidth="1"/>
  </cols>
  <sheetData>
    <row r="1" spans="1:12" ht="15.75" x14ac:dyDescent="0.25">
      <c r="H1" s="326" t="s">
        <v>741</v>
      </c>
      <c r="I1" s="327"/>
      <c r="J1" s="328"/>
      <c r="K1" s="329"/>
    </row>
    <row r="2" spans="1:12" ht="15.75" x14ac:dyDescent="0.25">
      <c r="H2" s="326" t="s">
        <v>742</v>
      </c>
      <c r="I2" s="327"/>
      <c r="J2" s="328"/>
      <c r="K2" s="329"/>
    </row>
    <row r="3" spans="1:12" ht="15.75" x14ac:dyDescent="0.25">
      <c r="H3" s="326" t="s">
        <v>743</v>
      </c>
      <c r="I3" s="327"/>
      <c r="J3" s="328"/>
      <c r="K3" s="329"/>
    </row>
    <row r="4" spans="1:12" ht="18.75" x14ac:dyDescent="0.3">
      <c r="A4" s="538" t="s">
        <v>744</v>
      </c>
      <c r="B4" s="538"/>
      <c r="C4" s="538"/>
      <c r="D4" s="538"/>
      <c r="E4" s="538"/>
      <c r="F4" s="538"/>
      <c r="G4" s="538"/>
      <c r="H4" s="538"/>
      <c r="I4" s="538"/>
      <c r="J4" s="538"/>
      <c r="K4" s="538"/>
      <c r="L4" s="330"/>
    </row>
    <row r="5" spans="1:12" ht="18.75" x14ac:dyDescent="0.3">
      <c r="A5" s="539" t="s">
        <v>745</v>
      </c>
      <c r="B5" s="539"/>
      <c r="C5" s="539"/>
      <c r="D5" s="539"/>
      <c r="E5" s="539"/>
      <c r="F5" s="539"/>
      <c r="G5" s="539"/>
      <c r="H5" s="539"/>
      <c r="I5" s="539"/>
      <c r="J5" s="539"/>
      <c r="K5" s="539"/>
      <c r="L5" s="330"/>
    </row>
    <row r="6" spans="1:12" ht="18.75" x14ac:dyDescent="0.3">
      <c r="A6" s="539" t="s">
        <v>746</v>
      </c>
      <c r="B6" s="539"/>
      <c r="C6" s="539"/>
      <c r="D6" s="539"/>
      <c r="E6" s="539"/>
      <c r="F6" s="539"/>
      <c r="G6" s="539"/>
      <c r="H6" s="539"/>
      <c r="I6" s="539"/>
      <c r="J6" s="539"/>
      <c r="K6" s="539"/>
      <c r="L6" s="331"/>
    </row>
    <row r="7" spans="1:12" ht="18.75" x14ac:dyDescent="0.3">
      <c r="A7" s="332"/>
      <c r="B7" s="330"/>
      <c r="C7" s="330"/>
      <c r="D7" s="330"/>
      <c r="E7" s="333"/>
      <c r="F7" s="334"/>
      <c r="G7" s="335"/>
      <c r="H7" s="336"/>
      <c r="I7" s="330"/>
      <c r="J7" s="337"/>
      <c r="K7" s="330"/>
      <c r="L7" s="330"/>
    </row>
    <row r="8" spans="1:12" ht="15.75" x14ac:dyDescent="0.25">
      <c r="A8" s="535" t="s">
        <v>279</v>
      </c>
      <c r="B8" s="338" t="s">
        <v>747</v>
      </c>
      <c r="C8" s="535" t="s">
        <v>748</v>
      </c>
      <c r="D8" s="535"/>
      <c r="E8" s="535"/>
      <c r="F8" s="339" t="s">
        <v>749</v>
      </c>
      <c r="G8" s="339" t="s">
        <v>750</v>
      </c>
      <c r="H8" s="340" t="s">
        <v>751</v>
      </c>
      <c r="I8" s="338" t="s">
        <v>752</v>
      </c>
      <c r="J8" s="536" t="s">
        <v>753</v>
      </c>
      <c r="K8" s="341"/>
      <c r="L8" s="341"/>
    </row>
    <row r="9" spans="1:12" ht="15.75" x14ac:dyDescent="0.25">
      <c r="A9" s="535"/>
      <c r="B9" s="342" t="s">
        <v>754</v>
      </c>
      <c r="C9" s="343" t="s">
        <v>755</v>
      </c>
      <c r="D9" s="343" t="s">
        <v>756</v>
      </c>
      <c r="E9" s="343" t="s">
        <v>757</v>
      </c>
      <c r="F9" s="344" t="s">
        <v>758</v>
      </c>
      <c r="G9" s="344" t="s">
        <v>759</v>
      </c>
      <c r="H9" s="345" t="s">
        <v>759</v>
      </c>
      <c r="I9" s="342" t="s">
        <v>760</v>
      </c>
      <c r="J9" s="536"/>
      <c r="K9" s="341"/>
      <c r="L9" s="341"/>
    </row>
    <row r="10" spans="1:12" ht="15.75" x14ac:dyDescent="0.25">
      <c r="A10" s="346" t="s">
        <v>761</v>
      </c>
      <c r="B10" s="347" t="s">
        <v>762</v>
      </c>
      <c r="C10" s="348"/>
      <c r="D10" s="348"/>
      <c r="E10" s="349"/>
      <c r="F10" s="350"/>
      <c r="G10" s="351"/>
      <c r="H10" s="352">
        <v>0</v>
      </c>
      <c r="I10" s="348"/>
      <c r="J10" s="350"/>
      <c r="K10" s="328"/>
      <c r="L10" s="328"/>
    </row>
    <row r="11" spans="1:12" ht="15.75" x14ac:dyDescent="0.25">
      <c r="A11" s="346"/>
      <c r="B11" s="348"/>
      <c r="C11" s="348"/>
      <c r="D11" s="348"/>
      <c r="E11" s="349"/>
      <c r="F11" s="350"/>
      <c r="G11" s="351"/>
      <c r="H11" s="353"/>
      <c r="I11" s="348"/>
      <c r="J11" s="350"/>
      <c r="K11" s="328"/>
      <c r="L11" s="328"/>
    </row>
    <row r="12" spans="1:12" ht="15.75" x14ac:dyDescent="0.25">
      <c r="A12" s="346" t="s">
        <v>763</v>
      </c>
      <c r="B12" s="347" t="s">
        <v>764</v>
      </c>
      <c r="C12" s="348"/>
      <c r="D12" s="348"/>
      <c r="E12" s="349"/>
      <c r="F12" s="350"/>
      <c r="G12" s="351"/>
      <c r="H12" s="353"/>
      <c r="I12" s="348"/>
      <c r="J12" s="350"/>
      <c r="K12" s="328"/>
      <c r="L12" s="328"/>
    </row>
    <row r="13" spans="1:12" ht="15.75" x14ac:dyDescent="0.25">
      <c r="A13" s="349">
        <v>1</v>
      </c>
      <c r="B13" s="348" t="s">
        <v>765</v>
      </c>
      <c r="C13" s="348"/>
      <c r="D13" s="348"/>
      <c r="E13" s="354">
        <v>34430</v>
      </c>
      <c r="F13" s="350" t="s">
        <v>766</v>
      </c>
      <c r="G13" s="349">
        <v>1994</v>
      </c>
      <c r="H13" s="355">
        <v>0</v>
      </c>
      <c r="I13" s="350" t="s">
        <v>767</v>
      </c>
      <c r="J13" s="349" t="s">
        <v>768</v>
      </c>
      <c r="K13" s="328"/>
      <c r="L13" s="328"/>
    </row>
    <row r="14" spans="1:12" ht="15.75" x14ac:dyDescent="0.25">
      <c r="A14" s="349">
        <v>2</v>
      </c>
      <c r="B14" s="348" t="s">
        <v>769</v>
      </c>
      <c r="C14" s="348"/>
      <c r="D14" s="348"/>
      <c r="E14" s="349" t="s">
        <v>770</v>
      </c>
      <c r="F14" s="350" t="s">
        <v>771</v>
      </c>
      <c r="G14" s="349">
        <v>1994</v>
      </c>
      <c r="H14" s="355">
        <v>0</v>
      </c>
      <c r="I14" s="350" t="s">
        <v>767</v>
      </c>
      <c r="J14" s="349" t="s">
        <v>768</v>
      </c>
      <c r="K14" s="328"/>
      <c r="L14" s="328"/>
    </row>
    <row r="15" spans="1:12" ht="15.75" x14ac:dyDescent="0.25">
      <c r="A15" s="349">
        <v>3</v>
      </c>
      <c r="B15" s="348" t="s">
        <v>772</v>
      </c>
      <c r="C15" s="348"/>
      <c r="D15" s="348"/>
      <c r="E15" s="354">
        <v>35284</v>
      </c>
      <c r="F15" s="350" t="s">
        <v>766</v>
      </c>
      <c r="G15" s="349">
        <v>1996</v>
      </c>
      <c r="H15" s="355">
        <v>0</v>
      </c>
      <c r="I15" s="350" t="s">
        <v>767</v>
      </c>
      <c r="J15" s="349" t="s">
        <v>768</v>
      </c>
      <c r="K15" s="328"/>
      <c r="L15" s="328"/>
    </row>
    <row r="16" spans="1:12" ht="15.75" x14ac:dyDescent="0.25">
      <c r="A16" s="349">
        <v>4</v>
      </c>
      <c r="B16" s="348" t="s">
        <v>769</v>
      </c>
      <c r="C16" s="348"/>
      <c r="D16" s="348"/>
      <c r="E16" s="354" t="s">
        <v>773</v>
      </c>
      <c r="F16" s="350" t="s">
        <v>771</v>
      </c>
      <c r="G16" s="349">
        <v>1996</v>
      </c>
      <c r="H16" s="355">
        <v>0</v>
      </c>
      <c r="I16" s="350" t="s">
        <v>767</v>
      </c>
      <c r="J16" s="349" t="s">
        <v>768</v>
      </c>
      <c r="K16" s="328"/>
      <c r="L16" s="328"/>
    </row>
    <row r="17" spans="1:12" ht="15.75" x14ac:dyDescent="0.25">
      <c r="A17" s="349">
        <v>5</v>
      </c>
      <c r="B17" s="348" t="s">
        <v>774</v>
      </c>
      <c r="C17" s="348"/>
      <c r="D17" s="348"/>
      <c r="E17" s="349" t="s">
        <v>775</v>
      </c>
      <c r="F17" s="350" t="s">
        <v>766</v>
      </c>
      <c r="G17" s="349">
        <v>2001</v>
      </c>
      <c r="H17" s="355">
        <v>50000</v>
      </c>
      <c r="I17" s="350" t="s">
        <v>767</v>
      </c>
      <c r="J17" s="349" t="s">
        <v>776</v>
      </c>
      <c r="K17" s="328"/>
      <c r="L17" s="328"/>
    </row>
    <row r="18" spans="1:12" ht="15.75" x14ac:dyDescent="0.25">
      <c r="A18" s="349">
        <v>6</v>
      </c>
      <c r="B18" s="348" t="s">
        <v>777</v>
      </c>
      <c r="C18" s="348"/>
      <c r="D18" s="348"/>
      <c r="E18" s="354">
        <v>36901</v>
      </c>
      <c r="F18" s="350" t="s">
        <v>766</v>
      </c>
      <c r="G18" s="356">
        <v>2001</v>
      </c>
      <c r="H18" s="355">
        <v>500000</v>
      </c>
      <c r="I18" s="356" t="s">
        <v>767</v>
      </c>
      <c r="J18" s="356" t="s">
        <v>778</v>
      </c>
      <c r="K18" s="328"/>
      <c r="L18" s="328"/>
    </row>
    <row r="19" spans="1:12" ht="15.75" x14ac:dyDescent="0.25">
      <c r="A19" s="349">
        <v>7</v>
      </c>
      <c r="B19" s="348" t="s">
        <v>779</v>
      </c>
      <c r="C19" s="348"/>
      <c r="D19" s="348"/>
      <c r="E19" s="354">
        <v>37686</v>
      </c>
      <c r="F19" s="350" t="s">
        <v>780</v>
      </c>
      <c r="G19" s="349">
        <v>2003</v>
      </c>
      <c r="H19" s="355">
        <v>950000</v>
      </c>
      <c r="I19" s="350" t="s">
        <v>781</v>
      </c>
      <c r="J19" s="349" t="s">
        <v>782</v>
      </c>
      <c r="K19" s="328"/>
      <c r="L19" s="328"/>
    </row>
    <row r="20" spans="1:12" ht="15.75" x14ac:dyDescent="0.25">
      <c r="A20" s="349">
        <v>8</v>
      </c>
      <c r="B20" s="348" t="s">
        <v>783</v>
      </c>
      <c r="C20" s="357"/>
      <c r="D20" s="357"/>
      <c r="E20" s="349" t="s">
        <v>784</v>
      </c>
      <c r="F20" s="350" t="s">
        <v>766</v>
      </c>
      <c r="G20" s="349">
        <v>2003</v>
      </c>
      <c r="H20" s="355">
        <v>1200000</v>
      </c>
      <c r="I20" s="350" t="s">
        <v>767</v>
      </c>
      <c r="J20" s="349" t="s">
        <v>785</v>
      </c>
      <c r="K20" s="328"/>
      <c r="L20" s="328"/>
    </row>
    <row r="21" spans="1:12" ht="15.75" x14ac:dyDescent="0.25">
      <c r="A21" s="349">
        <v>9</v>
      </c>
      <c r="B21" s="348" t="s">
        <v>772</v>
      </c>
      <c r="C21" s="348"/>
      <c r="D21" s="348"/>
      <c r="E21" s="354">
        <v>37904</v>
      </c>
      <c r="F21" s="350" t="s">
        <v>766</v>
      </c>
      <c r="G21" s="349">
        <v>2003</v>
      </c>
      <c r="H21" s="355">
        <v>400000</v>
      </c>
      <c r="I21" s="350" t="s">
        <v>767</v>
      </c>
      <c r="J21" s="349" t="s">
        <v>782</v>
      </c>
      <c r="K21" s="328"/>
      <c r="L21" s="328"/>
    </row>
    <row r="22" spans="1:12" ht="15.75" x14ac:dyDescent="0.25">
      <c r="A22" s="349">
        <v>10</v>
      </c>
      <c r="B22" s="348" t="s">
        <v>777</v>
      </c>
      <c r="C22" s="348"/>
      <c r="D22" s="348"/>
      <c r="E22" s="349" t="s">
        <v>784</v>
      </c>
      <c r="F22" s="350" t="s">
        <v>766</v>
      </c>
      <c r="G22" s="358">
        <v>2003</v>
      </c>
      <c r="H22" s="355">
        <v>1100000</v>
      </c>
      <c r="I22" s="350" t="s">
        <v>767</v>
      </c>
      <c r="J22" s="358" t="s">
        <v>776</v>
      </c>
      <c r="K22" s="328"/>
      <c r="L22" s="328"/>
    </row>
    <row r="23" spans="1:12" ht="15.75" x14ac:dyDescent="0.25">
      <c r="A23" s="349">
        <v>11</v>
      </c>
      <c r="B23" s="348" t="s">
        <v>777</v>
      </c>
      <c r="C23" s="348"/>
      <c r="D23" s="348"/>
      <c r="E23" s="349" t="s">
        <v>784</v>
      </c>
      <c r="F23" s="350" t="s">
        <v>766</v>
      </c>
      <c r="G23" s="358">
        <v>3003</v>
      </c>
      <c r="H23" s="355">
        <v>600000</v>
      </c>
      <c r="I23" s="350" t="s">
        <v>767</v>
      </c>
      <c r="J23" s="358" t="s">
        <v>768</v>
      </c>
      <c r="K23" s="328"/>
      <c r="L23" s="328"/>
    </row>
    <row r="24" spans="1:12" ht="15.75" x14ac:dyDescent="0.25">
      <c r="A24" s="349">
        <v>12</v>
      </c>
      <c r="B24" s="348" t="s">
        <v>783</v>
      </c>
      <c r="C24" s="348"/>
      <c r="D24" s="348"/>
      <c r="E24" s="354">
        <v>38050</v>
      </c>
      <c r="F24" s="350" t="s">
        <v>766</v>
      </c>
      <c r="G24" s="358">
        <v>2004</v>
      </c>
      <c r="H24" s="355">
        <v>1000000</v>
      </c>
      <c r="I24" s="350" t="s">
        <v>767</v>
      </c>
      <c r="J24" s="358" t="s">
        <v>776</v>
      </c>
      <c r="K24" s="328"/>
      <c r="L24" s="328"/>
    </row>
    <row r="25" spans="1:12" ht="15.75" x14ac:dyDescent="0.25">
      <c r="A25" s="349">
        <v>13</v>
      </c>
      <c r="B25" s="348" t="s">
        <v>786</v>
      </c>
      <c r="C25" s="348"/>
      <c r="D25" s="348"/>
      <c r="E25" s="354" t="s">
        <v>787</v>
      </c>
      <c r="F25" s="350" t="s">
        <v>766</v>
      </c>
      <c r="G25" s="358">
        <v>2004</v>
      </c>
      <c r="H25" s="355">
        <v>350000</v>
      </c>
      <c r="I25" s="350" t="s">
        <v>767</v>
      </c>
      <c r="J25" s="358" t="s">
        <v>788</v>
      </c>
      <c r="K25" s="328"/>
      <c r="L25" s="328"/>
    </row>
    <row r="26" spans="1:12" ht="15.75" x14ac:dyDescent="0.25">
      <c r="A26" s="349">
        <v>14</v>
      </c>
      <c r="B26" s="348" t="s">
        <v>789</v>
      </c>
      <c r="C26" s="348"/>
      <c r="D26" s="348"/>
      <c r="E26" s="354">
        <v>38358</v>
      </c>
      <c r="F26" s="350" t="s">
        <v>766</v>
      </c>
      <c r="G26" s="358">
        <v>2005</v>
      </c>
      <c r="H26" s="355">
        <v>5250000</v>
      </c>
      <c r="I26" s="350" t="s">
        <v>767</v>
      </c>
      <c r="J26" s="358" t="s">
        <v>782</v>
      </c>
      <c r="K26" s="328"/>
      <c r="L26" s="328"/>
    </row>
    <row r="27" spans="1:12" ht="15.75" x14ac:dyDescent="0.25">
      <c r="A27" s="349">
        <v>15</v>
      </c>
      <c r="B27" s="348" t="s">
        <v>777</v>
      </c>
      <c r="C27" s="348"/>
      <c r="D27" s="348"/>
      <c r="E27" s="354">
        <v>38480</v>
      </c>
      <c r="F27" s="350" t="s">
        <v>766</v>
      </c>
      <c r="G27" s="358">
        <v>2005</v>
      </c>
      <c r="H27" s="355">
        <v>1200000</v>
      </c>
      <c r="I27" s="350" t="s">
        <v>781</v>
      </c>
      <c r="J27" s="358" t="s">
        <v>788</v>
      </c>
      <c r="K27" s="328"/>
      <c r="L27" s="328"/>
    </row>
    <row r="28" spans="1:12" ht="15.75" x14ac:dyDescent="0.25">
      <c r="A28" s="349">
        <v>16</v>
      </c>
      <c r="B28" s="348" t="s">
        <v>777</v>
      </c>
      <c r="C28" s="348"/>
      <c r="D28" s="348"/>
      <c r="E28" s="349" t="s">
        <v>790</v>
      </c>
      <c r="F28" s="350" t="s">
        <v>766</v>
      </c>
      <c r="G28" s="358">
        <v>2006</v>
      </c>
      <c r="H28" s="355">
        <v>600000</v>
      </c>
      <c r="I28" s="350" t="s">
        <v>767</v>
      </c>
      <c r="J28" s="358" t="s">
        <v>791</v>
      </c>
      <c r="K28" s="328"/>
      <c r="L28" s="328"/>
    </row>
    <row r="29" spans="1:12" ht="15.75" x14ac:dyDescent="0.25">
      <c r="A29" s="349">
        <v>17</v>
      </c>
      <c r="B29" s="348" t="s">
        <v>792</v>
      </c>
      <c r="C29" s="348"/>
      <c r="D29" s="348"/>
      <c r="E29" s="354">
        <v>39002</v>
      </c>
      <c r="F29" s="350" t="s">
        <v>766</v>
      </c>
      <c r="G29" s="349">
        <v>2006</v>
      </c>
      <c r="H29" s="355">
        <v>1200000</v>
      </c>
      <c r="I29" s="350" t="s">
        <v>767</v>
      </c>
      <c r="J29" s="349" t="s">
        <v>791</v>
      </c>
      <c r="K29" s="328"/>
      <c r="L29" s="328"/>
    </row>
    <row r="30" spans="1:12" ht="15.75" x14ac:dyDescent="0.25">
      <c r="A30" s="349">
        <v>18</v>
      </c>
      <c r="B30" s="348" t="s">
        <v>786</v>
      </c>
      <c r="C30" s="348"/>
      <c r="D30" s="348"/>
      <c r="E30" s="354">
        <v>39244</v>
      </c>
      <c r="F30" s="350" t="s">
        <v>766</v>
      </c>
      <c r="G30" s="349">
        <v>2007</v>
      </c>
      <c r="H30" s="355">
        <v>500000</v>
      </c>
      <c r="I30" s="350" t="s">
        <v>767</v>
      </c>
      <c r="J30" s="349" t="s">
        <v>791</v>
      </c>
      <c r="K30" s="328"/>
      <c r="L30" s="328"/>
    </row>
    <row r="31" spans="1:12" ht="15.75" x14ac:dyDescent="0.25">
      <c r="A31" s="349">
        <v>19</v>
      </c>
      <c r="B31" s="348" t="s">
        <v>793</v>
      </c>
      <c r="C31" s="348"/>
      <c r="D31" s="348"/>
      <c r="E31" s="354">
        <v>39420</v>
      </c>
      <c r="F31" s="350" t="s">
        <v>794</v>
      </c>
      <c r="G31" s="349">
        <v>2007</v>
      </c>
      <c r="H31" s="355">
        <v>150000</v>
      </c>
      <c r="I31" s="350" t="s">
        <v>767</v>
      </c>
      <c r="J31" s="349" t="s">
        <v>776</v>
      </c>
      <c r="K31" s="328"/>
      <c r="L31" s="328"/>
    </row>
    <row r="32" spans="1:12" ht="15.75" x14ac:dyDescent="0.25">
      <c r="A32" s="349">
        <v>20</v>
      </c>
      <c r="B32" s="348" t="s">
        <v>795</v>
      </c>
      <c r="C32" s="348"/>
      <c r="D32" s="348"/>
      <c r="E32" s="354">
        <v>39420</v>
      </c>
      <c r="F32" s="350" t="s">
        <v>794</v>
      </c>
      <c r="G32" s="349">
        <v>2007</v>
      </c>
      <c r="H32" s="355">
        <v>300000</v>
      </c>
      <c r="I32" s="350" t="s">
        <v>767</v>
      </c>
      <c r="J32" s="349" t="s">
        <v>776</v>
      </c>
      <c r="K32" s="328"/>
      <c r="L32" s="328"/>
    </row>
    <row r="33" spans="1:12" ht="15.75" x14ac:dyDescent="0.25">
      <c r="A33" s="349">
        <v>21</v>
      </c>
      <c r="B33" s="348" t="s">
        <v>796</v>
      </c>
      <c r="C33" s="348"/>
      <c r="D33" s="348"/>
      <c r="E33" s="354">
        <v>39420</v>
      </c>
      <c r="F33" s="350" t="s">
        <v>794</v>
      </c>
      <c r="G33" s="349">
        <v>2007</v>
      </c>
      <c r="H33" s="355">
        <v>100000</v>
      </c>
      <c r="I33" s="350" t="s">
        <v>767</v>
      </c>
      <c r="J33" s="349" t="s">
        <v>776</v>
      </c>
      <c r="K33" s="328"/>
      <c r="L33" s="328"/>
    </row>
    <row r="34" spans="1:12" ht="15.75" x14ac:dyDescent="0.25">
      <c r="A34" s="349">
        <v>22</v>
      </c>
      <c r="B34" s="348" t="s">
        <v>797</v>
      </c>
      <c r="C34" s="348"/>
      <c r="D34" s="348"/>
      <c r="E34" s="354">
        <v>39420</v>
      </c>
      <c r="F34" s="350" t="s">
        <v>794</v>
      </c>
      <c r="G34" s="349">
        <v>2007</v>
      </c>
      <c r="H34" s="355">
        <v>160000</v>
      </c>
      <c r="I34" s="350" t="s">
        <v>767</v>
      </c>
      <c r="J34" s="349" t="s">
        <v>776</v>
      </c>
      <c r="K34" s="328"/>
      <c r="L34" s="328"/>
    </row>
    <row r="35" spans="1:12" ht="15.75" x14ac:dyDescent="0.25">
      <c r="A35" s="349">
        <v>23</v>
      </c>
      <c r="B35" s="348" t="s">
        <v>798</v>
      </c>
      <c r="C35" s="348"/>
      <c r="D35" s="348"/>
      <c r="E35" s="354">
        <v>39420</v>
      </c>
      <c r="F35" s="350" t="s">
        <v>794</v>
      </c>
      <c r="G35" s="349">
        <v>2007</v>
      </c>
      <c r="H35" s="355">
        <v>280000</v>
      </c>
      <c r="I35" s="350" t="s">
        <v>767</v>
      </c>
      <c r="J35" s="349" t="s">
        <v>776</v>
      </c>
      <c r="K35" s="328"/>
      <c r="L35" s="328"/>
    </row>
    <row r="36" spans="1:12" ht="15.75" x14ac:dyDescent="0.25">
      <c r="A36" s="349">
        <v>24</v>
      </c>
      <c r="B36" s="348" t="s">
        <v>783</v>
      </c>
      <c r="C36" s="348"/>
      <c r="D36" s="348"/>
      <c r="E36" s="349" t="s">
        <v>799</v>
      </c>
      <c r="F36" s="350" t="s">
        <v>766</v>
      </c>
      <c r="G36" s="358">
        <v>2008</v>
      </c>
      <c r="H36" s="355">
        <v>1400000</v>
      </c>
      <c r="I36" s="350" t="s">
        <v>767</v>
      </c>
      <c r="J36" s="358" t="s">
        <v>800</v>
      </c>
      <c r="K36" s="328"/>
      <c r="L36" s="328"/>
    </row>
    <row r="37" spans="1:12" ht="15.75" x14ac:dyDescent="0.25">
      <c r="A37" s="349">
        <v>25</v>
      </c>
      <c r="B37" s="348" t="s">
        <v>774</v>
      </c>
      <c r="C37" s="348"/>
      <c r="D37" s="348"/>
      <c r="E37" s="349" t="s">
        <v>799</v>
      </c>
      <c r="F37" s="350" t="s">
        <v>766</v>
      </c>
      <c r="G37" s="358">
        <v>2008</v>
      </c>
      <c r="H37" s="355">
        <v>240000</v>
      </c>
      <c r="I37" s="350" t="s">
        <v>767</v>
      </c>
      <c r="J37" s="358" t="s">
        <v>776</v>
      </c>
      <c r="K37" s="328"/>
      <c r="L37" s="328"/>
    </row>
    <row r="38" spans="1:12" ht="15.75" x14ac:dyDescent="0.25">
      <c r="A38" s="349">
        <v>26</v>
      </c>
      <c r="B38" s="348" t="s">
        <v>801</v>
      </c>
      <c r="C38" s="351"/>
      <c r="D38" s="351"/>
      <c r="E38" s="350" t="s">
        <v>802</v>
      </c>
      <c r="F38" s="350" t="s">
        <v>803</v>
      </c>
      <c r="G38" s="358">
        <v>2010</v>
      </c>
      <c r="H38" s="355">
        <v>1500000</v>
      </c>
      <c r="I38" s="350" t="s">
        <v>767</v>
      </c>
      <c r="J38" s="358" t="s">
        <v>791</v>
      </c>
      <c r="K38" s="328"/>
      <c r="L38" s="328"/>
    </row>
    <row r="39" spans="1:12" ht="15.75" x14ac:dyDescent="0.25">
      <c r="A39" s="349">
        <v>27</v>
      </c>
      <c r="B39" s="359" t="s">
        <v>804</v>
      </c>
      <c r="C39" s="348"/>
      <c r="D39" s="348"/>
      <c r="E39" s="349" t="s">
        <v>805</v>
      </c>
      <c r="F39" s="350" t="s">
        <v>806</v>
      </c>
      <c r="G39" s="360">
        <v>2010</v>
      </c>
      <c r="H39" s="361">
        <v>2500000</v>
      </c>
      <c r="I39" s="362" t="s">
        <v>781</v>
      </c>
      <c r="J39" s="360" t="s">
        <v>791</v>
      </c>
      <c r="K39" s="328"/>
      <c r="L39" s="328"/>
    </row>
    <row r="40" spans="1:12" ht="15.75" x14ac:dyDescent="0.25">
      <c r="A40" s="349">
        <v>28</v>
      </c>
      <c r="B40" s="348" t="s">
        <v>783</v>
      </c>
      <c r="C40" s="348"/>
      <c r="D40" s="348"/>
      <c r="E40" s="349" t="s">
        <v>805</v>
      </c>
      <c r="F40" s="350" t="s">
        <v>766</v>
      </c>
      <c r="G40" s="358">
        <v>2011</v>
      </c>
      <c r="H40" s="355">
        <v>800000</v>
      </c>
      <c r="I40" s="350" t="s">
        <v>767</v>
      </c>
      <c r="J40" s="358" t="s">
        <v>800</v>
      </c>
      <c r="K40" s="328"/>
      <c r="L40" s="328"/>
    </row>
    <row r="41" spans="1:12" ht="15.75" x14ac:dyDescent="0.25">
      <c r="A41" s="349">
        <v>29</v>
      </c>
      <c r="B41" s="351" t="s">
        <v>772</v>
      </c>
      <c r="C41" s="348"/>
      <c r="D41" s="348"/>
      <c r="E41" s="354">
        <v>40909</v>
      </c>
      <c r="F41" s="350" t="s">
        <v>766</v>
      </c>
      <c r="G41" s="350">
        <v>2012</v>
      </c>
      <c r="H41" s="353">
        <v>750000</v>
      </c>
      <c r="I41" s="350" t="s">
        <v>767</v>
      </c>
      <c r="J41" s="350" t="s">
        <v>791</v>
      </c>
      <c r="K41" s="328"/>
      <c r="L41" s="328"/>
    </row>
    <row r="42" spans="1:12" ht="15.75" x14ac:dyDescent="0.25">
      <c r="A42" s="349">
        <v>30</v>
      </c>
      <c r="B42" s="351" t="s">
        <v>807</v>
      </c>
      <c r="C42" s="351"/>
      <c r="D42" s="351"/>
      <c r="E42" s="350" t="s">
        <v>808</v>
      </c>
      <c r="F42" s="350" t="s">
        <v>809</v>
      </c>
      <c r="G42" s="350">
        <v>2012</v>
      </c>
      <c r="H42" s="353">
        <v>6419000</v>
      </c>
      <c r="I42" s="350" t="s">
        <v>767</v>
      </c>
      <c r="J42" s="350" t="s">
        <v>810</v>
      </c>
      <c r="K42" s="328"/>
      <c r="L42" s="328"/>
    </row>
    <row r="43" spans="1:12" ht="15.75" x14ac:dyDescent="0.25">
      <c r="A43" s="349"/>
      <c r="B43" s="363" t="s">
        <v>811</v>
      </c>
      <c r="C43" s="348"/>
      <c r="D43" s="348"/>
      <c r="E43" s="354"/>
      <c r="F43" s="350"/>
      <c r="G43" s="350"/>
      <c r="H43" s="352">
        <f>SUM(H10:H42)</f>
        <v>29499000</v>
      </c>
      <c r="I43" s="350"/>
      <c r="J43" s="350"/>
      <c r="K43" s="328"/>
      <c r="L43" s="328"/>
    </row>
    <row r="44" spans="1:12" ht="15.75" x14ac:dyDescent="0.25">
      <c r="A44" s="534" t="s">
        <v>279</v>
      </c>
      <c r="B44" s="364" t="s">
        <v>747</v>
      </c>
      <c r="C44" s="534" t="s">
        <v>748</v>
      </c>
      <c r="D44" s="534"/>
      <c r="E44" s="534"/>
      <c r="F44" s="365" t="s">
        <v>749</v>
      </c>
      <c r="G44" s="365" t="s">
        <v>750</v>
      </c>
      <c r="H44" s="366" t="s">
        <v>751</v>
      </c>
      <c r="I44" s="364" t="s">
        <v>752</v>
      </c>
      <c r="J44" s="537" t="s">
        <v>753</v>
      </c>
      <c r="K44" s="328"/>
      <c r="L44" s="328"/>
    </row>
    <row r="45" spans="1:12" ht="15.75" x14ac:dyDescent="0.25">
      <c r="A45" s="535"/>
      <c r="B45" s="342" t="s">
        <v>754</v>
      </c>
      <c r="C45" s="343" t="s">
        <v>755</v>
      </c>
      <c r="D45" s="343" t="s">
        <v>756</v>
      </c>
      <c r="E45" s="343" t="s">
        <v>757</v>
      </c>
      <c r="F45" s="344" t="s">
        <v>758</v>
      </c>
      <c r="G45" s="344" t="s">
        <v>759</v>
      </c>
      <c r="H45" s="345" t="s">
        <v>759</v>
      </c>
      <c r="I45" s="342" t="s">
        <v>760</v>
      </c>
      <c r="J45" s="536"/>
      <c r="K45" s="328"/>
      <c r="L45" s="328"/>
    </row>
    <row r="46" spans="1:12" ht="15.75" x14ac:dyDescent="0.25">
      <c r="A46" s="349"/>
      <c r="B46" s="363" t="s">
        <v>812</v>
      </c>
      <c r="C46" s="348"/>
      <c r="D46" s="348"/>
      <c r="E46" s="354"/>
      <c r="F46" s="350"/>
      <c r="G46" s="350"/>
      <c r="H46" s="352">
        <f>H43</f>
        <v>29499000</v>
      </c>
      <c r="I46" s="350"/>
      <c r="J46" s="350"/>
      <c r="K46" s="328"/>
      <c r="L46" s="328"/>
    </row>
    <row r="47" spans="1:12" ht="15.75" x14ac:dyDescent="0.25">
      <c r="A47" s="349">
        <v>31</v>
      </c>
      <c r="B47" s="351" t="s">
        <v>772</v>
      </c>
      <c r="C47" s="348"/>
      <c r="D47" s="348"/>
      <c r="E47" s="349" t="s">
        <v>813</v>
      </c>
      <c r="F47" s="350" t="s">
        <v>766</v>
      </c>
      <c r="G47" s="350">
        <v>2013</v>
      </c>
      <c r="H47" s="353">
        <v>4000000</v>
      </c>
      <c r="I47" s="350" t="s">
        <v>767</v>
      </c>
      <c r="J47" s="350" t="s">
        <v>800</v>
      </c>
      <c r="K47" s="328"/>
      <c r="L47" s="328"/>
    </row>
    <row r="48" spans="1:12" ht="15.75" x14ac:dyDescent="0.25">
      <c r="A48" s="349">
        <v>32</v>
      </c>
      <c r="B48" s="351" t="s">
        <v>814</v>
      </c>
      <c r="C48" s="348"/>
      <c r="D48" s="348"/>
      <c r="E48" s="349" t="s">
        <v>813</v>
      </c>
      <c r="F48" s="350" t="s">
        <v>766</v>
      </c>
      <c r="G48" s="350">
        <v>2013</v>
      </c>
      <c r="H48" s="353">
        <v>1500000</v>
      </c>
      <c r="I48" s="350" t="s">
        <v>767</v>
      </c>
      <c r="J48" s="350" t="s">
        <v>800</v>
      </c>
      <c r="K48" s="328"/>
      <c r="L48" s="328"/>
    </row>
    <row r="49" spans="1:12" ht="15.75" x14ac:dyDescent="0.25">
      <c r="A49" s="349">
        <v>33</v>
      </c>
      <c r="B49" s="351" t="s">
        <v>815</v>
      </c>
      <c r="C49" s="348"/>
      <c r="D49" s="348"/>
      <c r="E49" s="349" t="s">
        <v>816</v>
      </c>
      <c r="F49" s="350" t="s">
        <v>766</v>
      </c>
      <c r="G49" s="350">
        <v>2013</v>
      </c>
      <c r="H49" s="353">
        <v>1500000</v>
      </c>
      <c r="I49" s="350" t="s">
        <v>767</v>
      </c>
      <c r="J49" s="350" t="s">
        <v>800</v>
      </c>
      <c r="K49" s="328"/>
      <c r="L49" s="328"/>
    </row>
    <row r="50" spans="1:12" ht="15.75" x14ac:dyDescent="0.25">
      <c r="A50" s="349">
        <v>34</v>
      </c>
      <c r="B50" s="351" t="s">
        <v>817</v>
      </c>
      <c r="C50" s="357"/>
      <c r="D50" s="357"/>
      <c r="E50" s="354" t="s">
        <v>818</v>
      </c>
      <c r="F50" s="350" t="s">
        <v>819</v>
      </c>
      <c r="G50" s="350">
        <v>2014</v>
      </c>
      <c r="H50" s="353">
        <v>1450000</v>
      </c>
      <c r="I50" s="350" t="s">
        <v>767</v>
      </c>
      <c r="J50" s="350" t="s">
        <v>776</v>
      </c>
      <c r="K50" s="328"/>
      <c r="L50" s="328"/>
    </row>
    <row r="51" spans="1:12" ht="15.75" x14ac:dyDescent="0.25">
      <c r="A51" s="349">
        <v>35</v>
      </c>
      <c r="B51" s="351" t="s">
        <v>820</v>
      </c>
      <c r="C51" s="348"/>
      <c r="D51" s="348"/>
      <c r="E51" s="354" t="s">
        <v>821</v>
      </c>
      <c r="F51" s="350" t="s">
        <v>822</v>
      </c>
      <c r="G51" s="350">
        <v>2014</v>
      </c>
      <c r="H51" s="353">
        <v>9000000</v>
      </c>
      <c r="I51" s="350" t="s">
        <v>767</v>
      </c>
      <c r="J51" s="350" t="s">
        <v>823</v>
      </c>
      <c r="K51" s="328"/>
      <c r="L51" s="328"/>
    </row>
    <row r="52" spans="1:12" ht="15.75" x14ac:dyDescent="0.25">
      <c r="A52" s="349">
        <v>36</v>
      </c>
      <c r="B52" s="351" t="s">
        <v>824</v>
      </c>
      <c r="C52" s="357"/>
      <c r="D52" s="357"/>
      <c r="E52" s="349" t="s">
        <v>825</v>
      </c>
      <c r="F52" s="350" t="s">
        <v>826</v>
      </c>
      <c r="G52" s="350">
        <v>2015</v>
      </c>
      <c r="H52" s="353">
        <v>4350000</v>
      </c>
      <c r="I52" s="350" t="s">
        <v>767</v>
      </c>
      <c r="J52" s="350" t="s">
        <v>791</v>
      </c>
      <c r="K52" s="328"/>
      <c r="L52" s="328"/>
    </row>
    <row r="53" spans="1:12" ht="15.75" x14ac:dyDescent="0.25">
      <c r="A53" s="349">
        <v>37</v>
      </c>
      <c r="B53" s="351" t="s">
        <v>824</v>
      </c>
      <c r="C53" s="348"/>
      <c r="D53" s="348"/>
      <c r="E53" s="354">
        <v>42105</v>
      </c>
      <c r="F53" s="350" t="s">
        <v>826</v>
      </c>
      <c r="G53" s="350">
        <v>2015</v>
      </c>
      <c r="H53" s="353">
        <v>8000000</v>
      </c>
      <c r="I53" s="350" t="s">
        <v>767</v>
      </c>
      <c r="J53" s="350" t="s">
        <v>791</v>
      </c>
      <c r="K53" s="328"/>
      <c r="L53" s="328"/>
    </row>
    <row r="54" spans="1:12" ht="15.75" x14ac:dyDescent="0.25">
      <c r="A54" s="349">
        <v>38</v>
      </c>
      <c r="B54" s="351" t="s">
        <v>827</v>
      </c>
      <c r="C54" s="348"/>
      <c r="D54" s="348"/>
      <c r="E54" s="349" t="s">
        <v>828</v>
      </c>
      <c r="F54" s="350" t="s">
        <v>829</v>
      </c>
      <c r="G54" s="350">
        <v>2015</v>
      </c>
      <c r="H54" s="353">
        <v>1600000</v>
      </c>
      <c r="I54" s="350" t="s">
        <v>767</v>
      </c>
      <c r="J54" s="350" t="s">
        <v>791</v>
      </c>
      <c r="K54" s="328"/>
      <c r="L54" s="328"/>
    </row>
    <row r="55" spans="1:12" ht="15.75" x14ac:dyDescent="0.25">
      <c r="A55" s="349">
        <v>39</v>
      </c>
      <c r="B55" s="351" t="s">
        <v>830</v>
      </c>
      <c r="C55" s="348"/>
      <c r="D55" s="348"/>
      <c r="E55" s="354">
        <v>42047</v>
      </c>
      <c r="F55" s="350" t="s">
        <v>831</v>
      </c>
      <c r="G55" s="350">
        <v>2015</v>
      </c>
      <c r="H55" s="367">
        <v>5550000</v>
      </c>
      <c r="I55" s="350" t="s">
        <v>767</v>
      </c>
      <c r="J55" s="350" t="s">
        <v>791</v>
      </c>
      <c r="K55" s="328"/>
      <c r="L55" s="328"/>
    </row>
    <row r="56" spans="1:12" ht="15.75" x14ac:dyDescent="0.25">
      <c r="A56" s="349">
        <v>40</v>
      </c>
      <c r="B56" s="351" t="s">
        <v>832</v>
      </c>
      <c r="C56" s="348"/>
      <c r="D56" s="348"/>
      <c r="E56" s="354">
        <v>42047</v>
      </c>
      <c r="F56" s="350" t="s">
        <v>831</v>
      </c>
      <c r="G56" s="350">
        <v>2015</v>
      </c>
      <c r="H56" s="367">
        <v>2127500</v>
      </c>
      <c r="I56" s="350" t="s">
        <v>767</v>
      </c>
      <c r="J56" s="350" t="s">
        <v>791</v>
      </c>
      <c r="K56" s="328"/>
      <c r="L56" s="328"/>
    </row>
    <row r="57" spans="1:12" ht="15.75" x14ac:dyDescent="0.25">
      <c r="A57" s="349">
        <v>41</v>
      </c>
      <c r="B57" s="351" t="s">
        <v>833</v>
      </c>
      <c r="C57" s="348"/>
      <c r="D57" s="348"/>
      <c r="E57" s="354">
        <v>42047</v>
      </c>
      <c r="F57" s="350" t="s">
        <v>831</v>
      </c>
      <c r="G57" s="350">
        <v>2015</v>
      </c>
      <c r="H57" s="367">
        <v>2000000</v>
      </c>
      <c r="I57" s="350" t="s">
        <v>767</v>
      </c>
      <c r="J57" s="350" t="s">
        <v>791</v>
      </c>
      <c r="K57" s="328"/>
      <c r="L57" s="328"/>
    </row>
    <row r="58" spans="1:12" ht="15.75" x14ac:dyDescent="0.25">
      <c r="A58" s="349">
        <v>42</v>
      </c>
      <c r="B58" s="351" t="s">
        <v>834</v>
      </c>
      <c r="C58" s="348"/>
      <c r="D58" s="348"/>
      <c r="E58" s="349" t="s">
        <v>835</v>
      </c>
      <c r="F58" s="350" t="s">
        <v>766</v>
      </c>
      <c r="G58" s="350">
        <v>2015</v>
      </c>
      <c r="H58" s="353">
        <v>2750000</v>
      </c>
      <c r="I58" s="350" t="s">
        <v>767</v>
      </c>
      <c r="J58" s="350" t="s">
        <v>836</v>
      </c>
      <c r="K58" s="328"/>
      <c r="L58" s="328"/>
    </row>
    <row r="59" spans="1:12" ht="15.75" x14ac:dyDescent="0.25">
      <c r="A59" s="349">
        <v>43</v>
      </c>
      <c r="B59" s="351" t="s">
        <v>837</v>
      </c>
      <c r="C59" s="348"/>
      <c r="D59" s="348"/>
      <c r="E59" s="349" t="s">
        <v>835</v>
      </c>
      <c r="F59" s="350" t="s">
        <v>766</v>
      </c>
      <c r="G59" s="350">
        <v>2015</v>
      </c>
      <c r="H59" s="353">
        <v>2400000</v>
      </c>
      <c r="I59" s="350" t="s">
        <v>767</v>
      </c>
      <c r="J59" s="350" t="s">
        <v>791</v>
      </c>
      <c r="K59" s="328"/>
      <c r="L59" s="328"/>
    </row>
    <row r="60" spans="1:12" ht="15.75" x14ac:dyDescent="0.25">
      <c r="A60" s="349">
        <v>44</v>
      </c>
      <c r="B60" s="351" t="s">
        <v>838</v>
      </c>
      <c r="C60" s="351"/>
      <c r="D60" s="351"/>
      <c r="E60" s="350" t="s">
        <v>839</v>
      </c>
      <c r="F60" s="350" t="s">
        <v>840</v>
      </c>
      <c r="G60" s="350">
        <v>2015</v>
      </c>
      <c r="H60" s="353">
        <v>300000</v>
      </c>
      <c r="I60" s="350" t="s">
        <v>767</v>
      </c>
      <c r="J60" s="350" t="s">
        <v>776</v>
      </c>
      <c r="K60" s="328"/>
      <c r="L60" s="328"/>
    </row>
    <row r="61" spans="1:12" ht="15.75" x14ac:dyDescent="0.25">
      <c r="A61" s="349">
        <v>45</v>
      </c>
      <c r="B61" s="351" t="s">
        <v>841</v>
      </c>
      <c r="C61" s="348"/>
      <c r="D61" s="348"/>
      <c r="E61" s="350" t="s">
        <v>839</v>
      </c>
      <c r="F61" s="350" t="s">
        <v>840</v>
      </c>
      <c r="G61" s="350">
        <v>2015</v>
      </c>
      <c r="H61" s="353">
        <v>200000</v>
      </c>
      <c r="I61" s="350" t="s">
        <v>767</v>
      </c>
      <c r="J61" s="350" t="s">
        <v>776</v>
      </c>
      <c r="K61" s="328"/>
      <c r="L61" s="328"/>
    </row>
    <row r="62" spans="1:12" ht="15.75" x14ac:dyDescent="0.25">
      <c r="A62" s="349">
        <v>46</v>
      </c>
      <c r="B62" s="351" t="s">
        <v>842</v>
      </c>
      <c r="C62" s="348"/>
      <c r="D62" s="348"/>
      <c r="E62" s="350" t="s">
        <v>839</v>
      </c>
      <c r="F62" s="350" t="s">
        <v>766</v>
      </c>
      <c r="G62" s="350">
        <v>2015</v>
      </c>
      <c r="H62" s="353">
        <v>0</v>
      </c>
      <c r="I62" s="350" t="s">
        <v>767</v>
      </c>
      <c r="J62" s="350" t="s">
        <v>768</v>
      </c>
      <c r="K62" s="328"/>
      <c r="L62" s="328"/>
    </row>
    <row r="63" spans="1:12" ht="15.75" x14ac:dyDescent="0.25">
      <c r="A63" s="349">
        <v>47</v>
      </c>
      <c r="B63" s="351" t="s">
        <v>843</v>
      </c>
      <c r="C63" s="351"/>
      <c r="D63" s="351"/>
      <c r="E63" s="350" t="s">
        <v>839</v>
      </c>
      <c r="F63" s="350" t="s">
        <v>844</v>
      </c>
      <c r="G63" s="350">
        <v>2015</v>
      </c>
      <c r="H63" s="353">
        <v>0</v>
      </c>
      <c r="I63" s="350" t="s">
        <v>767</v>
      </c>
      <c r="J63" s="350" t="s">
        <v>845</v>
      </c>
      <c r="K63" s="328"/>
      <c r="L63" s="328"/>
    </row>
    <row r="64" spans="1:12" ht="15.75" x14ac:dyDescent="0.25">
      <c r="A64" s="349">
        <v>48</v>
      </c>
      <c r="B64" s="351" t="s">
        <v>846</v>
      </c>
      <c r="C64" s="348"/>
      <c r="D64" s="348"/>
      <c r="E64" s="350" t="s">
        <v>839</v>
      </c>
      <c r="F64" s="350" t="s">
        <v>847</v>
      </c>
      <c r="G64" s="350">
        <v>2015</v>
      </c>
      <c r="H64" s="353">
        <v>100000</v>
      </c>
      <c r="I64" s="350" t="s">
        <v>767</v>
      </c>
      <c r="J64" s="350" t="s">
        <v>776</v>
      </c>
      <c r="K64" s="328"/>
      <c r="L64" s="328"/>
    </row>
    <row r="65" spans="1:12" ht="15.75" x14ac:dyDescent="0.25">
      <c r="A65" s="349">
        <v>49</v>
      </c>
      <c r="B65" s="351" t="s">
        <v>848</v>
      </c>
      <c r="C65" s="351"/>
      <c r="D65" s="351"/>
      <c r="E65" s="350" t="s">
        <v>839</v>
      </c>
      <c r="F65" s="350" t="s">
        <v>847</v>
      </c>
      <c r="G65" s="350">
        <v>2015</v>
      </c>
      <c r="H65" s="353">
        <v>50000</v>
      </c>
      <c r="I65" s="350" t="s">
        <v>767</v>
      </c>
      <c r="J65" s="350" t="s">
        <v>776</v>
      </c>
      <c r="K65" s="328"/>
      <c r="L65" s="328"/>
    </row>
    <row r="66" spans="1:12" ht="15.75" x14ac:dyDescent="0.25">
      <c r="A66" s="349">
        <v>50</v>
      </c>
      <c r="B66" s="351" t="s">
        <v>849</v>
      </c>
      <c r="C66" s="348"/>
      <c r="D66" s="348"/>
      <c r="E66" s="349" t="s">
        <v>850</v>
      </c>
      <c r="F66" s="350" t="s">
        <v>794</v>
      </c>
      <c r="G66" s="350">
        <v>2016</v>
      </c>
      <c r="H66" s="353">
        <v>2000000</v>
      </c>
      <c r="I66" s="350" t="s">
        <v>767</v>
      </c>
      <c r="J66" s="350" t="s">
        <v>791</v>
      </c>
      <c r="K66" s="328"/>
      <c r="L66" s="328"/>
    </row>
    <row r="67" spans="1:12" ht="15.75" x14ac:dyDescent="0.25">
      <c r="A67" s="349">
        <v>51</v>
      </c>
      <c r="B67" s="351" t="s">
        <v>851</v>
      </c>
      <c r="C67" s="348"/>
      <c r="D67" s="348"/>
      <c r="E67" s="349" t="s">
        <v>850</v>
      </c>
      <c r="F67" s="350" t="s">
        <v>794</v>
      </c>
      <c r="G67" s="350">
        <v>2016</v>
      </c>
      <c r="H67" s="353">
        <v>1250000</v>
      </c>
      <c r="I67" s="350" t="s">
        <v>767</v>
      </c>
      <c r="J67" s="350" t="s">
        <v>791</v>
      </c>
      <c r="K67" s="328"/>
      <c r="L67" s="328"/>
    </row>
    <row r="68" spans="1:12" ht="15.75" x14ac:dyDescent="0.25">
      <c r="A68" s="349">
        <v>52</v>
      </c>
      <c r="B68" s="351" t="s">
        <v>852</v>
      </c>
      <c r="C68" s="348"/>
      <c r="D68" s="348"/>
      <c r="E68" s="349" t="s">
        <v>850</v>
      </c>
      <c r="F68" s="350" t="s">
        <v>794</v>
      </c>
      <c r="G68" s="350">
        <v>2016</v>
      </c>
      <c r="H68" s="353">
        <v>600000</v>
      </c>
      <c r="I68" s="350" t="s">
        <v>767</v>
      </c>
      <c r="J68" s="350" t="s">
        <v>791</v>
      </c>
      <c r="K68" s="328"/>
      <c r="L68" s="328"/>
    </row>
    <row r="69" spans="1:12" ht="15.75" x14ac:dyDescent="0.25">
      <c r="A69" s="349">
        <v>53</v>
      </c>
      <c r="B69" s="351" t="s">
        <v>853</v>
      </c>
      <c r="C69" s="348"/>
      <c r="D69" s="348"/>
      <c r="E69" s="349" t="s">
        <v>850</v>
      </c>
      <c r="F69" s="350" t="s">
        <v>794</v>
      </c>
      <c r="G69" s="350">
        <v>2016</v>
      </c>
      <c r="H69" s="353">
        <v>400000</v>
      </c>
      <c r="I69" s="350" t="s">
        <v>767</v>
      </c>
      <c r="J69" s="350" t="s">
        <v>791</v>
      </c>
      <c r="K69" s="328"/>
      <c r="L69" s="328"/>
    </row>
    <row r="70" spans="1:12" ht="15.75" x14ac:dyDescent="0.25">
      <c r="A70" s="349">
        <v>54</v>
      </c>
      <c r="B70" s="351" t="s">
        <v>854</v>
      </c>
      <c r="C70" s="348"/>
      <c r="D70" s="348"/>
      <c r="E70" s="349" t="s">
        <v>850</v>
      </c>
      <c r="F70" s="350" t="s">
        <v>803</v>
      </c>
      <c r="G70" s="350">
        <v>2016</v>
      </c>
      <c r="H70" s="353">
        <v>750000</v>
      </c>
      <c r="I70" s="350" t="s">
        <v>781</v>
      </c>
      <c r="J70" s="350" t="s">
        <v>791</v>
      </c>
      <c r="K70" s="328"/>
      <c r="L70" s="328"/>
    </row>
    <row r="71" spans="1:12" ht="15.75" x14ac:dyDescent="0.25">
      <c r="A71" s="349">
        <v>55</v>
      </c>
      <c r="B71" s="351" t="s">
        <v>855</v>
      </c>
      <c r="C71" s="348"/>
      <c r="D71" s="348"/>
      <c r="E71" s="349" t="s">
        <v>850</v>
      </c>
      <c r="F71" s="350" t="s">
        <v>856</v>
      </c>
      <c r="G71" s="350">
        <v>2016</v>
      </c>
      <c r="H71" s="353">
        <v>60400</v>
      </c>
      <c r="I71" s="350" t="s">
        <v>767</v>
      </c>
      <c r="J71" s="350" t="s">
        <v>791</v>
      </c>
      <c r="K71" s="328"/>
      <c r="L71" s="328"/>
    </row>
    <row r="72" spans="1:12" ht="15.75" x14ac:dyDescent="0.25">
      <c r="A72" s="349">
        <v>56</v>
      </c>
      <c r="B72" s="351" t="s">
        <v>857</v>
      </c>
      <c r="C72" s="348"/>
      <c r="D72" s="348"/>
      <c r="E72" s="349" t="s">
        <v>850</v>
      </c>
      <c r="F72" s="350" t="s">
        <v>766</v>
      </c>
      <c r="G72" s="350">
        <v>2016</v>
      </c>
      <c r="H72" s="353">
        <v>2976000</v>
      </c>
      <c r="I72" s="350" t="s">
        <v>767</v>
      </c>
      <c r="J72" s="350" t="s">
        <v>791</v>
      </c>
      <c r="K72" s="328"/>
      <c r="L72" s="328"/>
    </row>
    <row r="73" spans="1:12" ht="15.75" x14ac:dyDescent="0.25">
      <c r="A73" s="349">
        <v>57</v>
      </c>
      <c r="B73" s="351" t="s">
        <v>858</v>
      </c>
      <c r="C73" s="348"/>
      <c r="D73" s="348"/>
      <c r="E73" s="349" t="s">
        <v>850</v>
      </c>
      <c r="F73" s="350" t="s">
        <v>859</v>
      </c>
      <c r="G73" s="350">
        <v>2016</v>
      </c>
      <c r="H73" s="353">
        <v>1050000</v>
      </c>
      <c r="I73" s="350" t="s">
        <v>767</v>
      </c>
      <c r="J73" s="350" t="s">
        <v>791</v>
      </c>
      <c r="K73" s="328"/>
      <c r="L73" s="328"/>
    </row>
    <row r="74" spans="1:12" ht="15.75" x14ac:dyDescent="0.25">
      <c r="A74" s="349">
        <v>58</v>
      </c>
      <c r="B74" s="351" t="s">
        <v>860</v>
      </c>
      <c r="C74" s="348"/>
      <c r="D74" s="348"/>
      <c r="E74" s="349" t="s">
        <v>850</v>
      </c>
      <c r="F74" s="350" t="s">
        <v>806</v>
      </c>
      <c r="G74" s="350">
        <v>2016</v>
      </c>
      <c r="H74" s="353">
        <v>750000</v>
      </c>
      <c r="I74" s="350" t="s">
        <v>781</v>
      </c>
      <c r="J74" s="350" t="s">
        <v>791</v>
      </c>
      <c r="K74" s="328"/>
      <c r="L74" s="328"/>
    </row>
    <row r="75" spans="1:12" ht="15.75" x14ac:dyDescent="0.25">
      <c r="A75" s="349">
        <v>59</v>
      </c>
      <c r="B75" s="351" t="s">
        <v>783</v>
      </c>
      <c r="C75" s="348"/>
      <c r="D75" s="348"/>
      <c r="E75" s="349" t="s">
        <v>850</v>
      </c>
      <c r="F75" s="350" t="s">
        <v>766</v>
      </c>
      <c r="G75" s="350">
        <v>2016</v>
      </c>
      <c r="H75" s="353">
        <v>5000000</v>
      </c>
      <c r="I75" s="350" t="s">
        <v>767</v>
      </c>
      <c r="J75" s="350" t="s">
        <v>791</v>
      </c>
      <c r="K75" s="328"/>
      <c r="L75" s="328"/>
    </row>
    <row r="76" spans="1:12" ht="15.75" x14ac:dyDescent="0.25">
      <c r="A76" s="349">
        <v>60</v>
      </c>
      <c r="B76" s="368" t="s">
        <v>861</v>
      </c>
      <c r="C76" s="357"/>
      <c r="D76" s="357"/>
      <c r="E76" s="349" t="s">
        <v>850</v>
      </c>
      <c r="F76" s="350" t="s">
        <v>819</v>
      </c>
      <c r="G76" s="362">
        <v>2016</v>
      </c>
      <c r="H76" s="353">
        <v>2300000</v>
      </c>
      <c r="I76" s="362" t="s">
        <v>767</v>
      </c>
      <c r="J76" s="362" t="s">
        <v>862</v>
      </c>
      <c r="K76" s="328"/>
      <c r="L76" s="328"/>
    </row>
    <row r="77" spans="1:12" ht="15.75" x14ac:dyDescent="0.25">
      <c r="A77" s="349">
        <v>61</v>
      </c>
      <c r="B77" s="351" t="s">
        <v>846</v>
      </c>
      <c r="C77" s="348"/>
      <c r="D77" s="348"/>
      <c r="E77" s="349" t="s">
        <v>850</v>
      </c>
      <c r="F77" s="350" t="s">
        <v>847</v>
      </c>
      <c r="G77" s="350">
        <v>2016</v>
      </c>
      <c r="H77" s="353">
        <v>240000</v>
      </c>
      <c r="I77" s="350" t="s">
        <v>767</v>
      </c>
      <c r="J77" s="350" t="s">
        <v>776</v>
      </c>
      <c r="K77" s="328"/>
      <c r="L77" s="328"/>
    </row>
    <row r="78" spans="1:12" ht="15.75" x14ac:dyDescent="0.25">
      <c r="A78" s="349">
        <v>62</v>
      </c>
      <c r="B78" s="351" t="s">
        <v>846</v>
      </c>
      <c r="C78" s="348"/>
      <c r="D78" s="348"/>
      <c r="E78" s="354" t="s">
        <v>863</v>
      </c>
      <c r="F78" s="350" t="s">
        <v>847</v>
      </c>
      <c r="G78" s="350">
        <v>2016</v>
      </c>
      <c r="H78" s="353">
        <v>240000</v>
      </c>
      <c r="I78" s="350" t="s">
        <v>767</v>
      </c>
      <c r="J78" s="350" t="s">
        <v>776</v>
      </c>
      <c r="K78" s="328"/>
      <c r="L78" s="328"/>
    </row>
    <row r="79" spans="1:12" ht="15.75" x14ac:dyDescent="0.25">
      <c r="A79" s="349">
        <v>63</v>
      </c>
      <c r="B79" s="351" t="s">
        <v>864</v>
      </c>
      <c r="C79" s="348"/>
      <c r="D79" s="348"/>
      <c r="E79" s="354" t="s">
        <v>863</v>
      </c>
      <c r="F79" s="350" t="s">
        <v>865</v>
      </c>
      <c r="G79" s="350">
        <v>2016</v>
      </c>
      <c r="H79" s="353">
        <v>560000</v>
      </c>
      <c r="I79" s="350" t="s">
        <v>767</v>
      </c>
      <c r="J79" s="350" t="s">
        <v>776</v>
      </c>
      <c r="K79" s="328"/>
      <c r="L79" s="328"/>
    </row>
    <row r="80" spans="1:12" ht="15.75" x14ac:dyDescent="0.25">
      <c r="A80" s="349">
        <v>64</v>
      </c>
      <c r="B80" s="351" t="s">
        <v>866</v>
      </c>
      <c r="C80" s="348"/>
      <c r="D80" s="348"/>
      <c r="E80" s="354" t="s">
        <v>863</v>
      </c>
      <c r="F80" s="350" t="s">
        <v>865</v>
      </c>
      <c r="G80" s="350">
        <v>2016</v>
      </c>
      <c r="H80" s="353">
        <v>70000</v>
      </c>
      <c r="I80" s="350" t="s">
        <v>767</v>
      </c>
      <c r="J80" s="350" t="s">
        <v>776</v>
      </c>
      <c r="K80" s="328"/>
      <c r="L80" s="328"/>
    </row>
    <row r="81" spans="1:12" ht="15.75" x14ac:dyDescent="0.25">
      <c r="A81" s="349">
        <v>65</v>
      </c>
      <c r="B81" s="351" t="s">
        <v>867</v>
      </c>
      <c r="C81" s="348"/>
      <c r="D81" s="348"/>
      <c r="E81" s="354" t="s">
        <v>863</v>
      </c>
      <c r="F81" s="350" t="s">
        <v>865</v>
      </c>
      <c r="G81" s="350">
        <v>2016</v>
      </c>
      <c r="H81" s="353">
        <v>200000</v>
      </c>
      <c r="I81" s="350" t="s">
        <v>767</v>
      </c>
      <c r="J81" s="350" t="s">
        <v>776</v>
      </c>
      <c r="K81" s="328"/>
      <c r="L81" s="328"/>
    </row>
    <row r="82" spans="1:12" ht="15.75" x14ac:dyDescent="0.25">
      <c r="A82" s="349">
        <v>66</v>
      </c>
      <c r="B82" s="351" t="s">
        <v>868</v>
      </c>
      <c r="C82" s="348"/>
      <c r="D82" s="348"/>
      <c r="E82" s="354" t="s">
        <v>863</v>
      </c>
      <c r="F82" s="350" t="s">
        <v>865</v>
      </c>
      <c r="G82" s="350">
        <v>2016</v>
      </c>
      <c r="H82" s="353">
        <v>100000</v>
      </c>
      <c r="I82" s="350" t="s">
        <v>767</v>
      </c>
      <c r="J82" s="350" t="s">
        <v>776</v>
      </c>
      <c r="K82" s="328"/>
      <c r="L82" s="328"/>
    </row>
    <row r="83" spans="1:12" ht="15.75" x14ac:dyDescent="0.25">
      <c r="A83" s="349">
        <v>67</v>
      </c>
      <c r="B83" s="351" t="s">
        <v>866</v>
      </c>
      <c r="C83" s="348"/>
      <c r="D83" s="348"/>
      <c r="E83" s="354" t="s">
        <v>863</v>
      </c>
      <c r="F83" s="350" t="s">
        <v>865</v>
      </c>
      <c r="G83" s="350">
        <v>2016</v>
      </c>
      <c r="H83" s="353">
        <v>200000</v>
      </c>
      <c r="I83" s="350" t="s">
        <v>767</v>
      </c>
      <c r="J83" s="350" t="s">
        <v>776</v>
      </c>
      <c r="K83" s="328"/>
      <c r="L83" s="328"/>
    </row>
    <row r="84" spans="1:12" ht="15.75" x14ac:dyDescent="0.25">
      <c r="A84" s="349">
        <v>68</v>
      </c>
      <c r="B84" s="351" t="s">
        <v>869</v>
      </c>
      <c r="C84" s="357"/>
      <c r="D84" s="357"/>
      <c r="E84" s="354" t="s">
        <v>863</v>
      </c>
      <c r="F84" s="350" t="s">
        <v>856</v>
      </c>
      <c r="G84" s="350">
        <v>2016</v>
      </c>
      <c r="H84" s="353">
        <v>50000</v>
      </c>
      <c r="I84" s="350" t="s">
        <v>767</v>
      </c>
      <c r="J84" s="350" t="s">
        <v>768</v>
      </c>
      <c r="K84" s="328"/>
      <c r="L84" s="328"/>
    </row>
    <row r="85" spans="1:12" ht="15.75" x14ac:dyDescent="0.25">
      <c r="A85" s="349">
        <v>69</v>
      </c>
      <c r="B85" s="351" t="s">
        <v>870</v>
      </c>
      <c r="C85" s="348"/>
      <c r="D85" s="348"/>
      <c r="E85" s="349" t="s">
        <v>871</v>
      </c>
      <c r="F85" s="350" t="s">
        <v>831</v>
      </c>
      <c r="G85" s="350">
        <v>3017</v>
      </c>
      <c r="H85" s="353">
        <v>1650000</v>
      </c>
      <c r="I85" s="350" t="s">
        <v>767</v>
      </c>
      <c r="J85" s="350" t="s">
        <v>872</v>
      </c>
      <c r="K85" s="328"/>
      <c r="L85" s="328"/>
    </row>
    <row r="86" spans="1:12" ht="15.75" x14ac:dyDescent="0.25">
      <c r="A86" s="349">
        <v>70</v>
      </c>
      <c r="B86" s="351" t="s">
        <v>857</v>
      </c>
      <c r="C86" s="348"/>
      <c r="D86" s="348"/>
      <c r="E86" s="349" t="s">
        <v>873</v>
      </c>
      <c r="F86" s="350" t="s">
        <v>766</v>
      </c>
      <c r="G86" s="350">
        <v>2017</v>
      </c>
      <c r="H86" s="353">
        <v>11550000</v>
      </c>
      <c r="I86" s="350" t="s">
        <v>767</v>
      </c>
      <c r="J86" s="350" t="s">
        <v>791</v>
      </c>
      <c r="K86" s="328"/>
      <c r="L86" s="328"/>
    </row>
    <row r="87" spans="1:12" ht="15.75" x14ac:dyDescent="0.25">
      <c r="A87" s="349"/>
      <c r="B87" s="363" t="s">
        <v>811</v>
      </c>
      <c r="C87" s="357"/>
      <c r="D87" s="357"/>
      <c r="E87" s="354"/>
      <c r="F87" s="350"/>
      <c r="G87" s="350"/>
      <c r="H87" s="352">
        <f>SUM(H46:H86)</f>
        <v>108372900</v>
      </c>
      <c r="I87" s="350"/>
      <c r="J87" s="350"/>
      <c r="K87" s="328"/>
      <c r="L87" s="328"/>
    </row>
    <row r="88" spans="1:12" ht="15.75" x14ac:dyDescent="0.25">
      <c r="A88" s="535" t="s">
        <v>279</v>
      </c>
      <c r="B88" s="338" t="s">
        <v>747</v>
      </c>
      <c r="C88" s="535" t="s">
        <v>748</v>
      </c>
      <c r="D88" s="535"/>
      <c r="E88" s="535"/>
      <c r="F88" s="339" t="s">
        <v>749</v>
      </c>
      <c r="G88" s="339" t="s">
        <v>750</v>
      </c>
      <c r="H88" s="340" t="s">
        <v>751</v>
      </c>
      <c r="I88" s="338" t="s">
        <v>752</v>
      </c>
      <c r="J88" s="536" t="s">
        <v>753</v>
      </c>
      <c r="K88" s="328"/>
      <c r="L88" s="328"/>
    </row>
    <row r="89" spans="1:12" ht="15.75" x14ac:dyDescent="0.25">
      <c r="A89" s="535"/>
      <c r="B89" s="342" t="s">
        <v>754</v>
      </c>
      <c r="C89" s="343" t="s">
        <v>755</v>
      </c>
      <c r="D89" s="343" t="s">
        <v>756</v>
      </c>
      <c r="E89" s="343" t="s">
        <v>757</v>
      </c>
      <c r="F89" s="344" t="s">
        <v>758</v>
      </c>
      <c r="G89" s="344" t="s">
        <v>759</v>
      </c>
      <c r="H89" s="345" t="s">
        <v>759</v>
      </c>
      <c r="I89" s="342" t="s">
        <v>760</v>
      </c>
      <c r="J89" s="536"/>
      <c r="K89" s="328"/>
      <c r="L89" s="328"/>
    </row>
    <row r="90" spans="1:12" ht="15.75" x14ac:dyDescent="0.25">
      <c r="A90" s="349"/>
      <c r="B90" s="363" t="s">
        <v>812</v>
      </c>
      <c r="C90" s="357"/>
      <c r="D90" s="357"/>
      <c r="E90" s="354"/>
      <c r="F90" s="350"/>
      <c r="G90" s="350"/>
      <c r="H90" s="352">
        <f>H87</f>
        <v>108372900</v>
      </c>
      <c r="I90" s="350"/>
      <c r="J90" s="350"/>
      <c r="K90" s="328"/>
      <c r="L90" s="328"/>
    </row>
    <row r="91" spans="1:12" ht="15.75" x14ac:dyDescent="0.25">
      <c r="A91" s="349">
        <v>71</v>
      </c>
      <c r="B91" s="351" t="s">
        <v>874</v>
      </c>
      <c r="C91" s="348"/>
      <c r="D91" s="348"/>
      <c r="E91" s="349" t="s">
        <v>873</v>
      </c>
      <c r="F91" s="350" t="s">
        <v>766</v>
      </c>
      <c r="G91" s="350">
        <v>2017</v>
      </c>
      <c r="H91" s="353">
        <v>6000000</v>
      </c>
      <c r="I91" s="350" t="s">
        <v>767</v>
      </c>
      <c r="J91" s="350" t="s">
        <v>875</v>
      </c>
      <c r="K91" s="328"/>
      <c r="L91" s="328"/>
    </row>
    <row r="92" spans="1:12" ht="15.75" x14ac:dyDescent="0.25">
      <c r="A92" s="349">
        <v>72</v>
      </c>
      <c r="B92" s="351" t="s">
        <v>876</v>
      </c>
      <c r="C92" s="348"/>
      <c r="D92" s="348"/>
      <c r="E92" s="349" t="s">
        <v>873</v>
      </c>
      <c r="F92" s="350" t="s">
        <v>766</v>
      </c>
      <c r="G92" s="350">
        <v>2017</v>
      </c>
      <c r="H92" s="353">
        <v>1600000</v>
      </c>
      <c r="I92" s="350" t="s">
        <v>767</v>
      </c>
      <c r="J92" s="350" t="s">
        <v>872</v>
      </c>
      <c r="K92" s="328"/>
      <c r="L92" s="328"/>
    </row>
    <row r="93" spans="1:12" ht="15.75" x14ac:dyDescent="0.25">
      <c r="A93" s="349">
        <v>73</v>
      </c>
      <c r="B93" s="351" t="s">
        <v>858</v>
      </c>
      <c r="C93" s="348"/>
      <c r="D93" s="348"/>
      <c r="E93" s="349" t="s">
        <v>873</v>
      </c>
      <c r="F93" s="350" t="s">
        <v>859</v>
      </c>
      <c r="G93" s="350">
        <v>2017</v>
      </c>
      <c r="H93" s="353">
        <v>595000</v>
      </c>
      <c r="I93" s="350" t="s">
        <v>767</v>
      </c>
      <c r="J93" s="350" t="s">
        <v>872</v>
      </c>
      <c r="K93" s="328"/>
      <c r="L93" s="328"/>
    </row>
    <row r="94" spans="1:12" ht="15.75" x14ac:dyDescent="0.25">
      <c r="A94" s="349">
        <v>74</v>
      </c>
      <c r="B94" s="351" t="s">
        <v>801</v>
      </c>
      <c r="C94" s="348"/>
      <c r="D94" s="348"/>
      <c r="E94" s="349" t="s">
        <v>877</v>
      </c>
      <c r="F94" s="350" t="s">
        <v>803</v>
      </c>
      <c r="G94" s="350">
        <v>2017</v>
      </c>
      <c r="H94" s="353">
        <v>1700000</v>
      </c>
      <c r="I94" s="350" t="s">
        <v>767</v>
      </c>
      <c r="J94" s="350" t="s">
        <v>776</v>
      </c>
      <c r="K94" s="328"/>
      <c r="L94" s="328"/>
    </row>
    <row r="95" spans="1:12" ht="15.75" x14ac:dyDescent="0.25">
      <c r="A95" s="349">
        <v>75</v>
      </c>
      <c r="B95" s="351" t="s">
        <v>878</v>
      </c>
      <c r="C95" s="348"/>
      <c r="D95" s="348"/>
      <c r="E95" s="349" t="s">
        <v>877</v>
      </c>
      <c r="F95" s="350" t="s">
        <v>879</v>
      </c>
      <c r="G95" s="350">
        <v>2017</v>
      </c>
      <c r="H95" s="353">
        <v>2500000</v>
      </c>
      <c r="I95" s="350" t="s">
        <v>767</v>
      </c>
      <c r="J95" s="350" t="s">
        <v>791</v>
      </c>
      <c r="K95" s="328"/>
      <c r="L95" s="328"/>
    </row>
    <row r="96" spans="1:12" ht="15.75" x14ac:dyDescent="0.25">
      <c r="A96" s="349">
        <v>76</v>
      </c>
      <c r="B96" s="351" t="s">
        <v>783</v>
      </c>
      <c r="C96" s="348"/>
      <c r="D96" s="348"/>
      <c r="E96" s="349" t="s">
        <v>880</v>
      </c>
      <c r="F96" s="350" t="s">
        <v>766</v>
      </c>
      <c r="G96" s="350">
        <v>2017</v>
      </c>
      <c r="H96" s="353">
        <v>5000000</v>
      </c>
      <c r="I96" s="350" t="s">
        <v>767</v>
      </c>
      <c r="J96" s="350" t="s">
        <v>791</v>
      </c>
      <c r="K96" s="328"/>
      <c r="L96" s="328"/>
    </row>
    <row r="97" spans="1:12" ht="15.75" x14ac:dyDescent="0.25">
      <c r="A97" s="349">
        <v>77</v>
      </c>
      <c r="B97" s="351" t="s">
        <v>881</v>
      </c>
      <c r="C97" s="351"/>
      <c r="D97" s="351"/>
      <c r="E97" s="349" t="s">
        <v>880</v>
      </c>
      <c r="F97" s="350" t="s">
        <v>766</v>
      </c>
      <c r="G97" s="350">
        <v>2017</v>
      </c>
      <c r="H97" s="353">
        <v>2000000</v>
      </c>
      <c r="I97" s="350" t="s">
        <v>767</v>
      </c>
      <c r="J97" s="350" t="s">
        <v>872</v>
      </c>
      <c r="K97" s="328"/>
      <c r="L97" s="328"/>
    </row>
    <row r="98" spans="1:12" ht="15.75" x14ac:dyDescent="0.25">
      <c r="A98" s="349">
        <v>78</v>
      </c>
      <c r="B98" s="369" t="s">
        <v>882</v>
      </c>
      <c r="C98" s="348"/>
      <c r="D98" s="348"/>
      <c r="E98" s="354">
        <v>43290</v>
      </c>
      <c r="F98" s="350" t="s">
        <v>883</v>
      </c>
      <c r="G98" s="350">
        <v>2018</v>
      </c>
      <c r="H98" s="370">
        <v>3800000</v>
      </c>
      <c r="I98" s="349" t="s">
        <v>767</v>
      </c>
      <c r="J98" s="350" t="s">
        <v>791</v>
      </c>
      <c r="K98" s="328"/>
      <c r="L98" s="328"/>
    </row>
    <row r="99" spans="1:12" ht="15.75" x14ac:dyDescent="0.25">
      <c r="A99" s="349">
        <v>79</v>
      </c>
      <c r="B99" s="369" t="s">
        <v>884</v>
      </c>
      <c r="C99" s="348"/>
      <c r="D99" s="348"/>
      <c r="E99" s="354" t="s">
        <v>885</v>
      </c>
      <c r="F99" s="350" t="s">
        <v>826</v>
      </c>
      <c r="G99" s="350">
        <v>2018</v>
      </c>
      <c r="H99" s="370">
        <v>2000000</v>
      </c>
      <c r="I99" s="349" t="s">
        <v>781</v>
      </c>
      <c r="J99" s="350" t="s">
        <v>791</v>
      </c>
      <c r="K99" s="328"/>
      <c r="L99" s="328"/>
    </row>
    <row r="100" spans="1:12" ht="15.75" x14ac:dyDescent="0.25">
      <c r="A100" s="349">
        <v>80</v>
      </c>
      <c r="B100" s="371" t="s">
        <v>886</v>
      </c>
      <c r="C100" s="372"/>
      <c r="D100" s="372"/>
      <c r="E100" s="373" t="s">
        <v>887</v>
      </c>
      <c r="F100" s="350" t="s">
        <v>840</v>
      </c>
      <c r="G100" s="350">
        <v>2018</v>
      </c>
      <c r="H100" s="374">
        <v>1500000</v>
      </c>
      <c r="I100" s="349" t="s">
        <v>767</v>
      </c>
      <c r="J100" s="350" t="s">
        <v>4</v>
      </c>
      <c r="K100" s="328"/>
      <c r="L100" s="328"/>
    </row>
    <row r="101" spans="1:12" ht="15.75" x14ac:dyDescent="0.25">
      <c r="A101" s="349">
        <v>81</v>
      </c>
      <c r="B101" s="371" t="s">
        <v>888</v>
      </c>
      <c r="C101" s="372"/>
      <c r="D101" s="372"/>
      <c r="E101" s="373" t="s">
        <v>887</v>
      </c>
      <c r="F101" s="350" t="s">
        <v>840</v>
      </c>
      <c r="G101" s="350">
        <v>2018</v>
      </c>
      <c r="H101" s="374">
        <v>30000</v>
      </c>
      <c r="I101" s="349" t="s">
        <v>767</v>
      </c>
      <c r="J101" s="350" t="s">
        <v>4</v>
      </c>
      <c r="K101" s="328"/>
      <c r="L101" s="328"/>
    </row>
    <row r="102" spans="1:12" ht="15.75" x14ac:dyDescent="0.25">
      <c r="A102" s="349">
        <v>82</v>
      </c>
      <c r="B102" s="371" t="s">
        <v>889</v>
      </c>
      <c r="C102" s="372"/>
      <c r="D102" s="372"/>
      <c r="E102" s="373" t="s">
        <v>887</v>
      </c>
      <c r="F102" s="350" t="s">
        <v>840</v>
      </c>
      <c r="G102" s="350">
        <v>2018</v>
      </c>
      <c r="H102" s="374">
        <v>660000</v>
      </c>
      <c r="I102" s="349" t="s">
        <v>767</v>
      </c>
      <c r="J102" s="350" t="s">
        <v>4</v>
      </c>
      <c r="K102" s="328"/>
      <c r="L102" s="328"/>
    </row>
    <row r="103" spans="1:12" ht="15.75" x14ac:dyDescent="0.25">
      <c r="A103" s="349">
        <v>83</v>
      </c>
      <c r="B103" s="371" t="s">
        <v>890</v>
      </c>
      <c r="C103" s="372"/>
      <c r="D103" s="372"/>
      <c r="E103" s="373" t="s">
        <v>887</v>
      </c>
      <c r="F103" s="350" t="s">
        <v>840</v>
      </c>
      <c r="G103" s="350">
        <v>2018</v>
      </c>
      <c r="H103" s="374">
        <v>15000</v>
      </c>
      <c r="I103" s="349" t="s">
        <v>767</v>
      </c>
      <c r="J103" s="350" t="s">
        <v>4</v>
      </c>
      <c r="K103" s="328"/>
      <c r="L103" s="328"/>
    </row>
    <row r="104" spans="1:12" ht="15.75" x14ac:dyDescent="0.25">
      <c r="A104" s="349">
        <v>84</v>
      </c>
      <c r="B104" s="348" t="s">
        <v>891</v>
      </c>
      <c r="C104" s="348"/>
      <c r="D104" s="348"/>
      <c r="E104" s="354">
        <v>43742</v>
      </c>
      <c r="F104" s="350" t="s">
        <v>883</v>
      </c>
      <c r="G104" s="350">
        <v>2019</v>
      </c>
      <c r="H104" s="353">
        <v>7975000</v>
      </c>
      <c r="I104" s="349" t="s">
        <v>767</v>
      </c>
      <c r="J104" s="350" t="s">
        <v>892</v>
      </c>
      <c r="K104" s="328"/>
      <c r="L104" s="328"/>
    </row>
    <row r="105" spans="1:12" ht="15.75" x14ac:dyDescent="0.25">
      <c r="A105" s="349">
        <v>85</v>
      </c>
      <c r="B105" s="348" t="s">
        <v>893</v>
      </c>
      <c r="C105" s="348"/>
      <c r="D105" s="348"/>
      <c r="E105" s="354">
        <v>43529</v>
      </c>
      <c r="F105" s="350" t="s">
        <v>826</v>
      </c>
      <c r="G105" s="350">
        <v>2019</v>
      </c>
      <c r="H105" s="353">
        <v>5500000</v>
      </c>
      <c r="I105" s="349" t="s">
        <v>767</v>
      </c>
      <c r="J105" s="350" t="s">
        <v>4</v>
      </c>
      <c r="K105" s="328"/>
      <c r="L105" s="328"/>
    </row>
    <row r="106" spans="1:12" ht="15.75" x14ac:dyDescent="0.25">
      <c r="A106" s="349">
        <v>86</v>
      </c>
      <c r="B106" s="348" t="s">
        <v>842</v>
      </c>
      <c r="C106" s="348"/>
      <c r="D106" s="348"/>
      <c r="E106" s="354">
        <v>43529</v>
      </c>
      <c r="F106" s="350" t="s">
        <v>766</v>
      </c>
      <c r="G106" s="350">
        <v>2019</v>
      </c>
      <c r="H106" s="353">
        <v>2310000</v>
      </c>
      <c r="I106" s="349" t="s">
        <v>767</v>
      </c>
      <c r="J106" s="350" t="s">
        <v>4</v>
      </c>
      <c r="K106" s="328"/>
      <c r="L106" s="328"/>
    </row>
    <row r="107" spans="1:12" ht="15.75" x14ac:dyDescent="0.25">
      <c r="A107" s="349">
        <v>87</v>
      </c>
      <c r="B107" s="348" t="s">
        <v>842</v>
      </c>
      <c r="C107" s="348"/>
      <c r="D107" s="348"/>
      <c r="E107" s="354">
        <v>43891</v>
      </c>
      <c r="F107" s="350" t="s">
        <v>766</v>
      </c>
      <c r="G107" s="350">
        <v>2020</v>
      </c>
      <c r="H107" s="353">
        <v>8151110</v>
      </c>
      <c r="I107" s="349" t="s">
        <v>767</v>
      </c>
      <c r="J107" s="350" t="s">
        <v>894</v>
      </c>
      <c r="K107" s="328"/>
      <c r="L107" s="328"/>
    </row>
    <row r="108" spans="1:12" ht="15.75" x14ac:dyDescent="0.25">
      <c r="A108" s="349">
        <v>88</v>
      </c>
      <c r="B108" s="348" t="s">
        <v>893</v>
      </c>
      <c r="C108" s="348"/>
      <c r="D108" s="348"/>
      <c r="E108" s="354">
        <v>43891</v>
      </c>
      <c r="F108" s="350" t="s">
        <v>826</v>
      </c>
      <c r="G108" s="350">
        <v>2020</v>
      </c>
      <c r="H108" s="353">
        <v>50160000</v>
      </c>
      <c r="I108" s="349" t="s">
        <v>767</v>
      </c>
      <c r="J108" s="350" t="s">
        <v>894</v>
      </c>
      <c r="K108" s="328"/>
      <c r="L108" s="328"/>
    </row>
    <row r="109" spans="1:12" ht="15.75" x14ac:dyDescent="0.25">
      <c r="A109" s="349">
        <v>89</v>
      </c>
      <c r="B109" s="351" t="s">
        <v>895</v>
      </c>
      <c r="C109" s="351"/>
      <c r="D109" s="351"/>
      <c r="E109" s="375" t="s">
        <v>896</v>
      </c>
      <c r="F109" s="350" t="s">
        <v>897</v>
      </c>
      <c r="G109" s="350">
        <v>2020</v>
      </c>
      <c r="H109" s="353">
        <v>8850000</v>
      </c>
      <c r="I109" s="350" t="s">
        <v>767</v>
      </c>
      <c r="J109" s="350" t="s">
        <v>4</v>
      </c>
      <c r="K109" s="326"/>
      <c r="L109" s="326"/>
    </row>
    <row r="110" spans="1:12" ht="15.75" x14ac:dyDescent="0.25">
      <c r="A110" s="349">
        <v>90</v>
      </c>
      <c r="B110" s="351" t="s">
        <v>898</v>
      </c>
      <c r="C110" s="351"/>
      <c r="D110" s="351"/>
      <c r="E110" s="375" t="s">
        <v>899</v>
      </c>
      <c r="F110" s="350" t="s">
        <v>819</v>
      </c>
      <c r="G110" s="350">
        <v>2020</v>
      </c>
      <c r="H110" s="353">
        <v>9960000</v>
      </c>
      <c r="I110" s="350" t="s">
        <v>767</v>
      </c>
      <c r="J110" s="350" t="s">
        <v>900</v>
      </c>
      <c r="K110" s="326"/>
      <c r="L110" s="326"/>
    </row>
    <row r="111" spans="1:12" ht="15.75" x14ac:dyDescent="0.25">
      <c r="A111" s="349">
        <v>91</v>
      </c>
      <c r="B111" s="351" t="s">
        <v>901</v>
      </c>
      <c r="C111" s="351"/>
      <c r="D111" s="351"/>
      <c r="E111" s="375" t="s">
        <v>902</v>
      </c>
      <c r="F111" s="350" t="s">
        <v>903</v>
      </c>
      <c r="G111" s="350">
        <v>2020</v>
      </c>
      <c r="H111" s="353">
        <v>1416980</v>
      </c>
      <c r="I111" s="350" t="s">
        <v>767</v>
      </c>
      <c r="J111" s="350" t="s">
        <v>904</v>
      </c>
      <c r="K111" s="326"/>
      <c r="L111" s="326"/>
    </row>
    <row r="112" spans="1:12" ht="15.75" x14ac:dyDescent="0.25">
      <c r="A112" s="376"/>
      <c r="B112" s="376" t="s">
        <v>908</v>
      </c>
      <c r="C112" s="357"/>
      <c r="D112" s="357"/>
      <c r="E112" s="377"/>
      <c r="F112" s="378"/>
      <c r="G112" s="379"/>
      <c r="H112" s="380">
        <f>SUM(H90:H111)</f>
        <v>230095990</v>
      </c>
      <c r="I112" s="357"/>
      <c r="J112" s="378"/>
      <c r="K112" s="381"/>
      <c r="L112" s="381"/>
    </row>
    <row r="113" spans="1:12" ht="15.75" x14ac:dyDescent="0.25">
      <c r="A113" s="346" t="s">
        <v>909</v>
      </c>
      <c r="B113" s="347" t="s">
        <v>910</v>
      </c>
      <c r="C113" s="348"/>
      <c r="D113" s="348"/>
      <c r="E113" s="349"/>
      <c r="F113" s="350"/>
      <c r="G113" s="351"/>
      <c r="H113" s="353"/>
      <c r="I113" s="348"/>
      <c r="J113" s="350"/>
      <c r="K113" s="328"/>
      <c r="L113" s="328"/>
    </row>
    <row r="114" spans="1:12" ht="15.75" x14ac:dyDescent="0.25">
      <c r="A114" s="349">
        <v>1</v>
      </c>
      <c r="B114" s="348" t="s">
        <v>911</v>
      </c>
      <c r="C114" s="348"/>
      <c r="D114" s="348"/>
      <c r="E114" s="354">
        <v>40177</v>
      </c>
      <c r="F114" s="350" t="s">
        <v>912</v>
      </c>
      <c r="G114" s="358">
        <v>2009</v>
      </c>
      <c r="H114" s="355">
        <v>150000000</v>
      </c>
      <c r="I114" s="350" t="s">
        <v>767</v>
      </c>
      <c r="J114" s="358" t="s">
        <v>776</v>
      </c>
      <c r="K114" s="328"/>
      <c r="L114" s="328"/>
    </row>
    <row r="115" spans="1:12" ht="15.75" x14ac:dyDescent="0.25">
      <c r="A115" s="349">
        <v>2</v>
      </c>
      <c r="B115" s="351" t="s">
        <v>913</v>
      </c>
      <c r="C115" s="351"/>
      <c r="D115" s="351"/>
      <c r="E115" s="350" t="s">
        <v>808</v>
      </c>
      <c r="F115" s="350" t="s">
        <v>914</v>
      </c>
      <c r="G115" s="350">
        <v>2012</v>
      </c>
      <c r="H115" s="353">
        <v>58087000</v>
      </c>
      <c r="I115" s="350" t="s">
        <v>767</v>
      </c>
      <c r="J115" s="350" t="s">
        <v>768</v>
      </c>
      <c r="K115" s="328"/>
      <c r="L115" s="328"/>
    </row>
    <row r="116" spans="1:12" ht="15.75" x14ac:dyDescent="0.25">
      <c r="A116" s="349">
        <v>3</v>
      </c>
      <c r="B116" s="351" t="s">
        <v>915</v>
      </c>
      <c r="C116" s="348"/>
      <c r="D116" s="348"/>
      <c r="E116" s="354">
        <v>41765</v>
      </c>
      <c r="F116" s="350" t="s">
        <v>916</v>
      </c>
      <c r="G116" s="350">
        <v>2014</v>
      </c>
      <c r="H116" s="353">
        <v>18000000</v>
      </c>
      <c r="I116" s="350" t="s">
        <v>767</v>
      </c>
      <c r="J116" s="350" t="s">
        <v>768</v>
      </c>
      <c r="K116" s="328"/>
      <c r="L116" s="328"/>
    </row>
    <row r="117" spans="1:12" ht="15.75" x14ac:dyDescent="0.25">
      <c r="A117" s="349">
        <v>4</v>
      </c>
      <c r="B117" s="351" t="s">
        <v>913</v>
      </c>
      <c r="C117" s="348"/>
      <c r="D117" s="348"/>
      <c r="E117" s="349" t="s">
        <v>839</v>
      </c>
      <c r="F117" s="350" t="s">
        <v>914</v>
      </c>
      <c r="G117" s="350">
        <v>2015</v>
      </c>
      <c r="H117" s="353">
        <v>57500000</v>
      </c>
      <c r="I117" s="350" t="s">
        <v>767</v>
      </c>
      <c r="J117" s="350" t="s">
        <v>791</v>
      </c>
      <c r="K117" s="328"/>
      <c r="L117" s="328"/>
    </row>
    <row r="118" spans="1:12" ht="15.75" x14ac:dyDescent="0.25">
      <c r="A118" s="349">
        <v>5</v>
      </c>
      <c r="B118" s="351" t="s">
        <v>917</v>
      </c>
      <c r="C118" s="348"/>
      <c r="D118" s="348"/>
      <c r="E118" s="349" t="s">
        <v>839</v>
      </c>
      <c r="F118" s="350" t="s">
        <v>918</v>
      </c>
      <c r="G118" s="350">
        <v>2015</v>
      </c>
      <c r="H118" s="353">
        <v>13000000</v>
      </c>
      <c r="I118" s="350" t="s">
        <v>767</v>
      </c>
      <c r="J118" s="350" t="s">
        <v>776</v>
      </c>
      <c r="K118" s="328"/>
      <c r="L118" s="328"/>
    </row>
    <row r="119" spans="1:12" ht="15.75" x14ac:dyDescent="0.25">
      <c r="A119" s="349">
        <v>6</v>
      </c>
      <c r="B119" s="351" t="s">
        <v>919</v>
      </c>
      <c r="C119" s="348"/>
      <c r="D119" s="348"/>
      <c r="E119" s="349" t="s">
        <v>839</v>
      </c>
      <c r="F119" s="350" t="s">
        <v>920</v>
      </c>
      <c r="G119" s="350">
        <v>2015</v>
      </c>
      <c r="H119" s="353">
        <v>130000000</v>
      </c>
      <c r="I119" s="350" t="s">
        <v>767</v>
      </c>
      <c r="J119" s="350" t="s">
        <v>921</v>
      </c>
      <c r="K119" s="328"/>
      <c r="L119" s="328"/>
    </row>
    <row r="120" spans="1:12" ht="15.75" x14ac:dyDescent="0.25">
      <c r="A120" s="349">
        <v>7</v>
      </c>
      <c r="B120" s="351" t="s">
        <v>913</v>
      </c>
      <c r="C120" s="348"/>
      <c r="D120" s="348"/>
      <c r="E120" s="349" t="s">
        <v>850</v>
      </c>
      <c r="F120" s="350" t="s">
        <v>914</v>
      </c>
      <c r="G120" s="350">
        <v>2016</v>
      </c>
      <c r="H120" s="353">
        <v>61142500</v>
      </c>
      <c r="I120" s="350" t="s">
        <v>767</v>
      </c>
      <c r="J120" s="350" t="s">
        <v>791</v>
      </c>
      <c r="K120" s="328"/>
      <c r="L120" s="328"/>
    </row>
    <row r="121" spans="1:12" ht="15.75" x14ac:dyDescent="0.25">
      <c r="A121" s="349">
        <v>8</v>
      </c>
      <c r="B121" s="351" t="s">
        <v>922</v>
      </c>
      <c r="C121" s="348"/>
      <c r="D121" s="348"/>
      <c r="E121" s="349" t="s">
        <v>850</v>
      </c>
      <c r="F121" s="350" t="s">
        <v>923</v>
      </c>
      <c r="G121" s="350">
        <v>2016</v>
      </c>
      <c r="H121" s="353">
        <v>31166000</v>
      </c>
      <c r="I121" s="350" t="s">
        <v>767</v>
      </c>
      <c r="J121" s="350" t="s">
        <v>791</v>
      </c>
      <c r="K121" s="328"/>
      <c r="L121" s="328"/>
    </row>
    <row r="122" spans="1:12" ht="15.75" x14ac:dyDescent="0.25">
      <c r="A122" s="349">
        <v>9</v>
      </c>
      <c r="B122" s="351" t="s">
        <v>924</v>
      </c>
      <c r="C122" s="348"/>
      <c r="D122" s="348"/>
      <c r="E122" s="349" t="s">
        <v>850</v>
      </c>
      <c r="F122" s="350" t="s">
        <v>925</v>
      </c>
      <c r="G122" s="350">
        <v>2017</v>
      </c>
      <c r="H122" s="353">
        <v>50000000</v>
      </c>
      <c r="I122" s="350" t="s">
        <v>767</v>
      </c>
      <c r="J122" s="350" t="s">
        <v>926</v>
      </c>
      <c r="K122" s="328"/>
      <c r="L122" s="328"/>
    </row>
    <row r="123" spans="1:12" ht="15.75" x14ac:dyDescent="0.25">
      <c r="A123" s="349">
        <v>10</v>
      </c>
      <c r="B123" s="348" t="s">
        <v>927</v>
      </c>
      <c r="C123" s="348"/>
      <c r="D123" s="348"/>
      <c r="E123" s="349" t="s">
        <v>928</v>
      </c>
      <c r="F123" s="350" t="s">
        <v>929</v>
      </c>
      <c r="G123" s="350">
        <v>2018</v>
      </c>
      <c r="H123" s="353">
        <v>83168450</v>
      </c>
      <c r="I123" s="349" t="s">
        <v>767</v>
      </c>
      <c r="J123" s="382" t="s">
        <v>4</v>
      </c>
      <c r="K123" s="328"/>
      <c r="L123" s="328"/>
    </row>
    <row r="124" spans="1:12" ht="15.75" x14ac:dyDescent="0.25">
      <c r="A124" s="349">
        <v>11</v>
      </c>
      <c r="B124" s="348" t="s">
        <v>930</v>
      </c>
      <c r="C124" s="348"/>
      <c r="D124" s="348"/>
      <c r="E124" s="349" t="s">
        <v>928</v>
      </c>
      <c r="F124" s="350" t="s">
        <v>923</v>
      </c>
      <c r="G124" s="350">
        <v>2018</v>
      </c>
      <c r="H124" s="353">
        <v>4000000</v>
      </c>
      <c r="I124" s="349" t="s">
        <v>767</v>
      </c>
      <c r="J124" s="383" t="s">
        <v>791</v>
      </c>
      <c r="K124" s="328"/>
      <c r="L124" s="328"/>
    </row>
    <row r="125" spans="1:12" ht="15.75" x14ac:dyDescent="0.25">
      <c r="A125" s="349">
        <v>12</v>
      </c>
      <c r="B125" s="348" t="s">
        <v>931</v>
      </c>
      <c r="C125" s="348"/>
      <c r="D125" s="348"/>
      <c r="E125" s="349" t="s">
        <v>932</v>
      </c>
      <c r="F125" s="350" t="s">
        <v>914</v>
      </c>
      <c r="G125" s="350">
        <v>2019</v>
      </c>
      <c r="H125" s="353">
        <v>199796500</v>
      </c>
      <c r="I125" s="349" t="s">
        <v>767</v>
      </c>
      <c r="J125" s="350" t="s">
        <v>933</v>
      </c>
      <c r="K125" s="328"/>
      <c r="L125" s="328"/>
    </row>
    <row r="126" spans="1:12" ht="15.75" x14ac:dyDescent="0.25">
      <c r="A126" s="349">
        <v>13</v>
      </c>
      <c r="B126" s="348" t="s">
        <v>934</v>
      </c>
      <c r="C126" s="348"/>
      <c r="D126" s="348"/>
      <c r="E126" s="349" t="s">
        <v>935</v>
      </c>
      <c r="F126" s="350" t="s">
        <v>929</v>
      </c>
      <c r="G126" s="350">
        <v>2019</v>
      </c>
      <c r="H126" s="353">
        <v>38053500</v>
      </c>
      <c r="I126" s="349" t="s">
        <v>767</v>
      </c>
      <c r="J126" s="382" t="s">
        <v>4</v>
      </c>
      <c r="K126" s="328"/>
      <c r="L126" s="328"/>
    </row>
    <row r="127" spans="1:12" ht="15.75" x14ac:dyDescent="0.25">
      <c r="A127" s="349">
        <v>14</v>
      </c>
      <c r="B127" s="348" t="s">
        <v>936</v>
      </c>
      <c r="C127" s="348"/>
      <c r="D127" s="348"/>
      <c r="E127" s="349" t="s">
        <v>935</v>
      </c>
      <c r="F127" s="350" t="s">
        <v>929</v>
      </c>
      <c r="G127" s="350">
        <v>2019</v>
      </c>
      <c r="H127" s="353">
        <v>34643800</v>
      </c>
      <c r="I127" s="349" t="s">
        <v>767</v>
      </c>
      <c r="J127" s="383" t="s">
        <v>4</v>
      </c>
      <c r="K127" s="328"/>
      <c r="L127" s="328"/>
    </row>
    <row r="128" spans="1:12" ht="15.75" x14ac:dyDescent="0.25">
      <c r="A128" s="349"/>
      <c r="B128" s="363" t="s">
        <v>937</v>
      </c>
      <c r="C128" s="348"/>
      <c r="D128" s="348"/>
      <c r="E128" s="349"/>
      <c r="F128" s="350"/>
      <c r="G128" s="350"/>
      <c r="H128" s="352">
        <f>SUM(H114:H127)</f>
        <v>928557750</v>
      </c>
      <c r="I128" s="349"/>
      <c r="J128" s="383"/>
      <c r="K128" s="328"/>
      <c r="L128" s="328"/>
    </row>
    <row r="129" spans="1:12" ht="15.75" x14ac:dyDescent="0.25">
      <c r="A129" s="533" t="s">
        <v>279</v>
      </c>
      <c r="B129" s="338" t="s">
        <v>747</v>
      </c>
      <c r="C129" s="535" t="s">
        <v>748</v>
      </c>
      <c r="D129" s="535"/>
      <c r="E129" s="535"/>
      <c r="F129" s="339" t="s">
        <v>749</v>
      </c>
      <c r="G129" s="339" t="s">
        <v>750</v>
      </c>
      <c r="H129" s="340" t="s">
        <v>751</v>
      </c>
      <c r="I129" s="338" t="s">
        <v>752</v>
      </c>
      <c r="J129" s="536" t="s">
        <v>753</v>
      </c>
      <c r="K129" s="328"/>
      <c r="L129" s="328"/>
    </row>
    <row r="130" spans="1:12" ht="15.75" x14ac:dyDescent="0.25">
      <c r="A130" s="534"/>
      <c r="B130" s="342" t="s">
        <v>754</v>
      </c>
      <c r="C130" s="343" t="s">
        <v>755</v>
      </c>
      <c r="D130" s="343" t="s">
        <v>756</v>
      </c>
      <c r="E130" s="343" t="s">
        <v>757</v>
      </c>
      <c r="F130" s="344" t="s">
        <v>758</v>
      </c>
      <c r="G130" s="344" t="s">
        <v>759</v>
      </c>
      <c r="H130" s="345" t="s">
        <v>759</v>
      </c>
      <c r="I130" s="342" t="s">
        <v>760</v>
      </c>
      <c r="J130" s="536"/>
      <c r="K130" s="328"/>
      <c r="L130" s="328"/>
    </row>
    <row r="131" spans="1:12" ht="15.75" x14ac:dyDescent="0.25">
      <c r="A131" s="349"/>
      <c r="B131" s="363" t="s">
        <v>938</v>
      </c>
      <c r="C131" s="348"/>
      <c r="D131" s="348"/>
      <c r="E131" s="349"/>
      <c r="F131" s="350"/>
      <c r="G131" s="350"/>
      <c r="H131" s="352">
        <f>H128</f>
        <v>928557750</v>
      </c>
      <c r="I131" s="349"/>
      <c r="J131" s="383"/>
      <c r="K131" s="328"/>
      <c r="L131" s="328"/>
    </row>
    <row r="132" spans="1:12" ht="15.75" x14ac:dyDescent="0.25">
      <c r="A132" s="349">
        <v>15</v>
      </c>
      <c r="B132" s="384" t="s">
        <v>939</v>
      </c>
      <c r="C132" s="348"/>
      <c r="D132" s="348"/>
      <c r="E132" s="349" t="s">
        <v>940</v>
      </c>
      <c r="F132" s="350" t="s">
        <v>941</v>
      </c>
      <c r="G132" s="350">
        <v>2019</v>
      </c>
      <c r="H132" s="353">
        <v>3808000</v>
      </c>
      <c r="I132" s="349" t="s">
        <v>767</v>
      </c>
      <c r="J132" s="350" t="s">
        <v>776</v>
      </c>
      <c r="K132" s="328"/>
      <c r="L132" s="328"/>
    </row>
    <row r="133" spans="1:12" ht="15.75" x14ac:dyDescent="0.25">
      <c r="A133" s="350">
        <v>16</v>
      </c>
      <c r="B133" s="351" t="s">
        <v>942</v>
      </c>
      <c r="C133" s="351"/>
      <c r="D133" s="351"/>
      <c r="E133" s="350" t="s">
        <v>943</v>
      </c>
      <c r="F133" s="350" t="s">
        <v>929</v>
      </c>
      <c r="G133" s="350">
        <v>2020</v>
      </c>
      <c r="H133" s="353">
        <v>25396900</v>
      </c>
      <c r="I133" s="350" t="s">
        <v>767</v>
      </c>
      <c r="J133" s="382" t="s">
        <v>4</v>
      </c>
      <c r="K133" s="326"/>
      <c r="L133" s="326"/>
    </row>
    <row r="134" spans="1:12" ht="15.75" x14ac:dyDescent="0.25">
      <c r="A134" s="350">
        <v>17</v>
      </c>
      <c r="B134" s="351" t="s">
        <v>944</v>
      </c>
      <c r="C134" s="351"/>
      <c r="D134" s="351"/>
      <c r="E134" s="350" t="s">
        <v>943</v>
      </c>
      <c r="F134" s="350" t="s">
        <v>929</v>
      </c>
      <c r="G134" s="350">
        <v>2020</v>
      </c>
      <c r="H134" s="353">
        <v>41850400</v>
      </c>
      <c r="I134" s="350" t="s">
        <v>767</v>
      </c>
      <c r="J134" s="383" t="s">
        <v>4</v>
      </c>
      <c r="K134" s="326"/>
      <c r="L134" s="326"/>
    </row>
    <row r="135" spans="1:12" ht="15.75" x14ac:dyDescent="0.25">
      <c r="A135" s="376"/>
      <c r="B135" s="376" t="s">
        <v>945</v>
      </c>
      <c r="C135" s="357"/>
      <c r="D135" s="357"/>
      <c r="E135" s="376"/>
      <c r="F135" s="378"/>
      <c r="G135" s="378"/>
      <c r="H135" s="380">
        <f>SUM(H131:H134)</f>
        <v>999613050</v>
      </c>
      <c r="I135" s="376"/>
      <c r="J135" s="385"/>
      <c r="K135" s="381"/>
      <c r="L135" s="381"/>
    </row>
    <row r="136" spans="1:12" ht="15.75" x14ac:dyDescent="0.25">
      <c r="A136" s="346" t="s">
        <v>946</v>
      </c>
      <c r="B136" s="347" t="s">
        <v>947</v>
      </c>
      <c r="C136" s="348"/>
      <c r="D136" s="348"/>
      <c r="E136" s="349"/>
      <c r="F136" s="350"/>
      <c r="G136" s="350"/>
      <c r="H136" s="353"/>
      <c r="I136" s="349"/>
      <c r="J136" s="383"/>
      <c r="K136" s="328"/>
      <c r="L136" s="328"/>
    </row>
    <row r="137" spans="1:12" ht="15.75" x14ac:dyDescent="0.25">
      <c r="A137" s="349">
        <v>1</v>
      </c>
      <c r="B137" s="351" t="s">
        <v>948</v>
      </c>
      <c r="C137" s="348"/>
      <c r="D137" s="348"/>
      <c r="E137" s="349" t="s">
        <v>949</v>
      </c>
      <c r="F137" s="350" t="s">
        <v>950</v>
      </c>
      <c r="G137" s="350">
        <v>2011</v>
      </c>
      <c r="H137" s="353">
        <v>37400000</v>
      </c>
      <c r="I137" s="350" t="s">
        <v>767</v>
      </c>
      <c r="J137" s="350" t="s">
        <v>921</v>
      </c>
      <c r="K137" s="328"/>
      <c r="L137" s="328"/>
    </row>
    <row r="138" spans="1:12" ht="15.75" x14ac:dyDescent="0.25">
      <c r="A138" s="349">
        <v>2</v>
      </c>
      <c r="B138" s="351" t="s">
        <v>948</v>
      </c>
      <c r="C138" s="348"/>
      <c r="D138" s="348"/>
      <c r="E138" s="354">
        <v>41189</v>
      </c>
      <c r="F138" s="350" t="s">
        <v>950</v>
      </c>
      <c r="G138" s="350">
        <v>2012</v>
      </c>
      <c r="H138" s="353">
        <v>35443040</v>
      </c>
      <c r="I138" s="350" t="s">
        <v>767</v>
      </c>
      <c r="J138" s="350" t="s">
        <v>921</v>
      </c>
      <c r="K138" s="328"/>
      <c r="L138" s="328"/>
    </row>
    <row r="139" spans="1:12" ht="15.75" x14ac:dyDescent="0.25">
      <c r="A139" s="349">
        <v>3</v>
      </c>
      <c r="B139" s="351" t="s">
        <v>951</v>
      </c>
      <c r="C139" s="348"/>
      <c r="D139" s="348"/>
      <c r="E139" s="354" t="s">
        <v>952</v>
      </c>
      <c r="F139" s="350" t="s">
        <v>953</v>
      </c>
      <c r="G139" s="350">
        <v>2013</v>
      </c>
      <c r="H139" s="353">
        <v>15000000</v>
      </c>
      <c r="I139" s="350" t="s">
        <v>767</v>
      </c>
      <c r="J139" s="350" t="s">
        <v>791</v>
      </c>
      <c r="K139" s="328"/>
      <c r="L139" s="328"/>
    </row>
    <row r="140" spans="1:12" ht="15.75" x14ac:dyDescent="0.25">
      <c r="A140" s="349">
        <v>4</v>
      </c>
      <c r="B140" s="351" t="s">
        <v>951</v>
      </c>
      <c r="C140" s="348"/>
      <c r="D140" s="348"/>
      <c r="E140" s="349" t="s">
        <v>954</v>
      </c>
      <c r="F140" s="350" t="s">
        <v>953</v>
      </c>
      <c r="G140" s="350">
        <v>2014</v>
      </c>
      <c r="H140" s="353">
        <v>12944000</v>
      </c>
      <c r="I140" s="350" t="s">
        <v>767</v>
      </c>
      <c r="J140" s="350" t="s">
        <v>791</v>
      </c>
      <c r="K140" s="328"/>
      <c r="L140" s="328"/>
    </row>
    <row r="141" spans="1:12" ht="15.75" x14ac:dyDescent="0.25">
      <c r="A141" s="349">
        <v>5</v>
      </c>
      <c r="B141" s="351" t="s">
        <v>955</v>
      </c>
      <c r="C141" s="348"/>
      <c r="D141" s="348"/>
      <c r="E141" s="349" t="s">
        <v>954</v>
      </c>
      <c r="F141" s="350" t="s">
        <v>953</v>
      </c>
      <c r="G141" s="350">
        <v>2014</v>
      </c>
      <c r="H141" s="353">
        <v>6455000</v>
      </c>
      <c r="I141" s="350" t="s">
        <v>767</v>
      </c>
      <c r="J141" s="350" t="s">
        <v>776</v>
      </c>
      <c r="K141" s="328"/>
      <c r="L141" s="328"/>
    </row>
    <row r="142" spans="1:12" ht="15.75" x14ac:dyDescent="0.25">
      <c r="A142" s="349">
        <v>6</v>
      </c>
      <c r="B142" s="351" t="s">
        <v>956</v>
      </c>
      <c r="C142" s="348"/>
      <c r="D142" s="348"/>
      <c r="E142" s="349" t="s">
        <v>957</v>
      </c>
      <c r="F142" s="350" t="s">
        <v>950</v>
      </c>
      <c r="G142" s="350">
        <v>2015</v>
      </c>
      <c r="H142" s="353">
        <v>37610000</v>
      </c>
      <c r="I142" s="350" t="s">
        <v>767</v>
      </c>
      <c r="J142" s="350" t="s">
        <v>4</v>
      </c>
      <c r="K142" s="328"/>
      <c r="L142" s="328"/>
    </row>
    <row r="143" spans="1:12" ht="15.75" x14ac:dyDescent="0.25">
      <c r="A143" s="349">
        <v>7</v>
      </c>
      <c r="B143" s="351" t="s">
        <v>958</v>
      </c>
      <c r="C143" s="348"/>
      <c r="D143" s="348"/>
      <c r="E143" s="349" t="s">
        <v>957</v>
      </c>
      <c r="F143" s="350" t="s">
        <v>950</v>
      </c>
      <c r="G143" s="350">
        <v>2015</v>
      </c>
      <c r="H143" s="353">
        <v>30694000</v>
      </c>
      <c r="I143" s="350" t="s">
        <v>767</v>
      </c>
      <c r="J143" s="350" t="s">
        <v>4</v>
      </c>
      <c r="K143" s="328"/>
      <c r="L143" s="328"/>
    </row>
    <row r="144" spans="1:12" ht="15.75" x14ac:dyDescent="0.25">
      <c r="A144" s="349">
        <v>8</v>
      </c>
      <c r="B144" s="351" t="s">
        <v>959</v>
      </c>
      <c r="C144" s="348"/>
      <c r="D144" s="348"/>
      <c r="E144" s="349" t="s">
        <v>957</v>
      </c>
      <c r="F144" s="350" t="s">
        <v>950</v>
      </c>
      <c r="G144" s="350">
        <v>2015</v>
      </c>
      <c r="H144" s="353">
        <v>38033000</v>
      </c>
      <c r="I144" s="350" t="s">
        <v>767</v>
      </c>
      <c r="J144" s="350" t="s">
        <v>4</v>
      </c>
      <c r="K144" s="328"/>
      <c r="L144" s="328"/>
    </row>
    <row r="145" spans="1:12" ht="15.75" x14ac:dyDescent="0.25">
      <c r="A145" s="349">
        <v>9</v>
      </c>
      <c r="B145" s="351" t="s">
        <v>960</v>
      </c>
      <c r="C145" s="348"/>
      <c r="D145" s="348"/>
      <c r="E145" s="354">
        <v>42197</v>
      </c>
      <c r="F145" s="350" t="s">
        <v>961</v>
      </c>
      <c r="G145" s="350">
        <v>2015</v>
      </c>
      <c r="H145" s="353">
        <v>101637500</v>
      </c>
      <c r="I145" s="350" t="s">
        <v>767</v>
      </c>
      <c r="J145" s="350" t="s">
        <v>4</v>
      </c>
      <c r="K145" s="328"/>
      <c r="L145" s="328"/>
    </row>
    <row r="146" spans="1:12" ht="15.75" x14ac:dyDescent="0.25">
      <c r="A146" s="349">
        <v>10</v>
      </c>
      <c r="B146" s="348" t="s">
        <v>962</v>
      </c>
      <c r="C146" s="348"/>
      <c r="D146" s="348"/>
      <c r="E146" s="354" t="s">
        <v>839</v>
      </c>
      <c r="F146" s="350" t="s">
        <v>953</v>
      </c>
      <c r="G146" s="350">
        <v>2015</v>
      </c>
      <c r="H146" s="353">
        <v>5492000</v>
      </c>
      <c r="I146" s="349" t="s">
        <v>767</v>
      </c>
      <c r="J146" s="350" t="s">
        <v>791</v>
      </c>
      <c r="K146" s="328"/>
      <c r="L146" s="328"/>
    </row>
    <row r="147" spans="1:12" ht="15.75" x14ac:dyDescent="0.25">
      <c r="A147" s="349">
        <v>11</v>
      </c>
      <c r="B147" s="351" t="s">
        <v>955</v>
      </c>
      <c r="C147" s="348"/>
      <c r="D147" s="348"/>
      <c r="E147" s="354" t="s">
        <v>839</v>
      </c>
      <c r="F147" s="350" t="s">
        <v>953</v>
      </c>
      <c r="G147" s="350">
        <v>2016</v>
      </c>
      <c r="H147" s="353">
        <v>3067000</v>
      </c>
      <c r="I147" s="350" t="s">
        <v>767</v>
      </c>
      <c r="J147" s="350" t="s">
        <v>791</v>
      </c>
      <c r="K147" s="328"/>
      <c r="L147" s="328"/>
    </row>
    <row r="148" spans="1:12" ht="15.75" x14ac:dyDescent="0.25">
      <c r="A148" s="349">
        <v>12</v>
      </c>
      <c r="B148" s="351" t="s">
        <v>963</v>
      </c>
      <c r="C148" s="348"/>
      <c r="D148" s="348"/>
      <c r="E148" s="354" t="s">
        <v>839</v>
      </c>
      <c r="F148" s="350" t="s">
        <v>964</v>
      </c>
      <c r="G148" s="350">
        <v>2016</v>
      </c>
      <c r="H148" s="353">
        <v>12442000</v>
      </c>
      <c r="I148" s="350" t="s">
        <v>767</v>
      </c>
      <c r="J148" s="350" t="s">
        <v>791</v>
      </c>
      <c r="K148" s="328"/>
      <c r="L148" s="328"/>
    </row>
    <row r="149" spans="1:12" ht="15.75" x14ac:dyDescent="0.25">
      <c r="A149" s="349">
        <v>13</v>
      </c>
      <c r="B149" s="351" t="s">
        <v>965</v>
      </c>
      <c r="C149" s="348"/>
      <c r="D149" s="348"/>
      <c r="E149" s="349" t="s">
        <v>877</v>
      </c>
      <c r="F149" s="350" t="s">
        <v>961</v>
      </c>
      <c r="G149" s="350">
        <v>2017</v>
      </c>
      <c r="H149" s="353">
        <v>375136900</v>
      </c>
      <c r="I149" s="350" t="s">
        <v>767</v>
      </c>
      <c r="J149" s="350" t="s">
        <v>926</v>
      </c>
      <c r="K149" s="328"/>
      <c r="L149" s="328"/>
    </row>
    <row r="150" spans="1:12" ht="15.75" x14ac:dyDescent="0.25">
      <c r="A150" s="349">
        <v>14</v>
      </c>
      <c r="B150" s="351" t="s">
        <v>966</v>
      </c>
      <c r="C150" s="348"/>
      <c r="D150" s="348"/>
      <c r="E150" s="349" t="s">
        <v>967</v>
      </c>
      <c r="F150" s="350" t="s">
        <v>961</v>
      </c>
      <c r="G150" s="350">
        <v>2017</v>
      </c>
      <c r="H150" s="353">
        <v>8208000</v>
      </c>
      <c r="I150" s="350" t="s">
        <v>767</v>
      </c>
      <c r="J150" s="350" t="s">
        <v>968</v>
      </c>
      <c r="K150" s="328"/>
      <c r="L150" s="328"/>
    </row>
    <row r="151" spans="1:12" ht="15.75" x14ac:dyDescent="0.25">
      <c r="A151" s="349">
        <v>15</v>
      </c>
      <c r="B151" s="351" t="s">
        <v>969</v>
      </c>
      <c r="C151" s="351"/>
      <c r="D151" s="351"/>
      <c r="E151" s="375" t="s">
        <v>970</v>
      </c>
      <c r="F151" s="350" t="s">
        <v>964</v>
      </c>
      <c r="G151" s="350">
        <v>2018</v>
      </c>
      <c r="H151" s="353">
        <v>12000000</v>
      </c>
      <c r="I151" s="350" t="s">
        <v>767</v>
      </c>
      <c r="J151" s="350" t="s">
        <v>4</v>
      </c>
      <c r="K151" s="328"/>
      <c r="L151" s="328"/>
    </row>
    <row r="152" spans="1:12" ht="15.75" x14ac:dyDescent="0.25">
      <c r="A152" s="349">
        <v>16</v>
      </c>
      <c r="B152" s="348" t="s">
        <v>971</v>
      </c>
      <c r="C152" s="348"/>
      <c r="D152" s="348"/>
      <c r="E152" s="375">
        <v>43194</v>
      </c>
      <c r="F152" s="350" t="s">
        <v>964</v>
      </c>
      <c r="G152" s="350">
        <v>2018</v>
      </c>
      <c r="H152" s="353">
        <v>12000000</v>
      </c>
      <c r="I152" s="349" t="s">
        <v>767</v>
      </c>
      <c r="J152" s="383" t="s">
        <v>4</v>
      </c>
      <c r="K152" s="328"/>
      <c r="L152" s="328"/>
    </row>
    <row r="153" spans="1:12" ht="15.75" x14ac:dyDescent="0.25">
      <c r="A153" s="349">
        <v>17</v>
      </c>
      <c r="B153" s="348" t="s">
        <v>972</v>
      </c>
      <c r="C153" s="348"/>
      <c r="D153" s="348"/>
      <c r="E153" s="375">
        <v>43194</v>
      </c>
      <c r="F153" s="350" t="s">
        <v>964</v>
      </c>
      <c r="G153" s="350">
        <v>2018</v>
      </c>
      <c r="H153" s="353">
        <v>12000000</v>
      </c>
      <c r="I153" s="349" t="s">
        <v>767</v>
      </c>
      <c r="J153" s="350" t="s">
        <v>4</v>
      </c>
      <c r="K153" s="328"/>
      <c r="L153" s="328"/>
    </row>
    <row r="154" spans="1:12" ht="15.75" x14ac:dyDescent="0.25">
      <c r="A154" s="349">
        <v>18</v>
      </c>
      <c r="B154" s="348" t="s">
        <v>973</v>
      </c>
      <c r="C154" s="348"/>
      <c r="D154" s="348"/>
      <c r="E154" s="375">
        <v>43194</v>
      </c>
      <c r="F154" s="350" t="s">
        <v>964</v>
      </c>
      <c r="G154" s="350">
        <v>2018</v>
      </c>
      <c r="H154" s="353">
        <v>12000000</v>
      </c>
      <c r="I154" s="349" t="s">
        <v>767</v>
      </c>
      <c r="J154" s="350" t="s">
        <v>4</v>
      </c>
      <c r="K154" s="328"/>
      <c r="L154" s="328"/>
    </row>
    <row r="155" spans="1:12" ht="15.75" x14ac:dyDescent="0.25">
      <c r="A155" s="349">
        <v>19</v>
      </c>
      <c r="B155" s="348" t="s">
        <v>972</v>
      </c>
      <c r="C155" s="348"/>
      <c r="D155" s="348"/>
      <c r="E155" s="375">
        <v>43194</v>
      </c>
      <c r="F155" s="350" t="s">
        <v>964</v>
      </c>
      <c r="G155" s="350">
        <v>2018</v>
      </c>
      <c r="H155" s="353">
        <v>12000000</v>
      </c>
      <c r="I155" s="349" t="s">
        <v>767</v>
      </c>
      <c r="J155" s="350" t="s">
        <v>4</v>
      </c>
      <c r="K155" s="328"/>
      <c r="L155" s="328"/>
    </row>
    <row r="156" spans="1:12" ht="15.75" x14ac:dyDescent="0.25">
      <c r="A156" s="349">
        <v>20</v>
      </c>
      <c r="B156" s="348" t="s">
        <v>974</v>
      </c>
      <c r="C156" s="348"/>
      <c r="D156" s="348"/>
      <c r="E156" s="375">
        <v>43194</v>
      </c>
      <c r="F156" s="350" t="s">
        <v>964</v>
      </c>
      <c r="G156" s="350">
        <v>2018</v>
      </c>
      <c r="H156" s="353">
        <v>12000000</v>
      </c>
      <c r="I156" s="349" t="s">
        <v>767</v>
      </c>
      <c r="J156" s="350" t="s">
        <v>4</v>
      </c>
      <c r="K156" s="328"/>
      <c r="L156" s="328"/>
    </row>
    <row r="157" spans="1:12" ht="15.75" x14ac:dyDescent="0.25">
      <c r="A157" s="349">
        <v>21</v>
      </c>
      <c r="B157" s="348" t="s">
        <v>975</v>
      </c>
      <c r="C157" s="348"/>
      <c r="D157" s="348"/>
      <c r="E157" s="375">
        <v>43194</v>
      </c>
      <c r="F157" s="350" t="s">
        <v>964</v>
      </c>
      <c r="G157" s="350">
        <v>2018</v>
      </c>
      <c r="H157" s="353">
        <v>12000000</v>
      </c>
      <c r="I157" s="349" t="s">
        <v>767</v>
      </c>
      <c r="J157" s="350" t="s">
        <v>4</v>
      </c>
      <c r="K157" s="328"/>
      <c r="L157" s="328"/>
    </row>
    <row r="158" spans="1:12" ht="15.75" x14ac:dyDescent="0.25">
      <c r="A158" s="349">
        <v>22</v>
      </c>
      <c r="B158" s="348" t="s">
        <v>976</v>
      </c>
      <c r="C158" s="348"/>
      <c r="D158" s="348"/>
      <c r="E158" s="375">
        <v>43194</v>
      </c>
      <c r="F158" s="350" t="s">
        <v>964</v>
      </c>
      <c r="G158" s="350">
        <v>2018</v>
      </c>
      <c r="H158" s="353">
        <v>12000000</v>
      </c>
      <c r="I158" s="349" t="s">
        <v>767</v>
      </c>
      <c r="J158" s="350" t="s">
        <v>4</v>
      </c>
      <c r="K158" s="328"/>
      <c r="L158" s="328"/>
    </row>
    <row r="159" spans="1:12" ht="15.75" x14ac:dyDescent="0.25">
      <c r="A159" s="349">
        <v>23</v>
      </c>
      <c r="B159" s="348" t="s">
        <v>977</v>
      </c>
      <c r="C159" s="348"/>
      <c r="D159" s="348"/>
      <c r="E159" s="375">
        <v>43194</v>
      </c>
      <c r="F159" s="350" t="s">
        <v>964</v>
      </c>
      <c r="G159" s="350">
        <v>2018</v>
      </c>
      <c r="H159" s="353">
        <v>12000000</v>
      </c>
      <c r="I159" s="349" t="s">
        <v>767</v>
      </c>
      <c r="J159" s="350" t="s">
        <v>4</v>
      </c>
      <c r="K159" s="328"/>
      <c r="L159" s="328"/>
    </row>
    <row r="160" spans="1:12" ht="15.75" x14ac:dyDescent="0.25">
      <c r="A160" s="349">
        <v>24</v>
      </c>
      <c r="B160" s="348" t="s">
        <v>978</v>
      </c>
      <c r="C160" s="348"/>
      <c r="D160" s="348"/>
      <c r="E160" s="375">
        <v>43194</v>
      </c>
      <c r="F160" s="350" t="s">
        <v>964</v>
      </c>
      <c r="G160" s="350">
        <v>2018</v>
      </c>
      <c r="H160" s="353">
        <v>12000000</v>
      </c>
      <c r="I160" s="349" t="s">
        <v>767</v>
      </c>
      <c r="J160" s="350" t="s">
        <v>4</v>
      </c>
      <c r="K160" s="328"/>
      <c r="L160" s="328"/>
    </row>
    <row r="161" spans="1:12" ht="15.75" x14ac:dyDescent="0.25">
      <c r="A161" s="349">
        <v>25</v>
      </c>
      <c r="B161" s="348" t="s">
        <v>979</v>
      </c>
      <c r="C161" s="348"/>
      <c r="D161" s="348"/>
      <c r="E161" s="375">
        <v>43194</v>
      </c>
      <c r="F161" s="350" t="s">
        <v>961</v>
      </c>
      <c r="G161" s="350">
        <v>2018</v>
      </c>
      <c r="H161" s="353">
        <v>12000000</v>
      </c>
      <c r="I161" s="349" t="s">
        <v>767</v>
      </c>
      <c r="J161" s="350" t="s">
        <v>4</v>
      </c>
      <c r="K161" s="328"/>
      <c r="L161" s="328"/>
    </row>
    <row r="162" spans="1:12" ht="15.75" x14ac:dyDescent="0.25">
      <c r="A162" s="349">
        <v>26</v>
      </c>
      <c r="B162" s="348" t="s">
        <v>980</v>
      </c>
      <c r="C162" s="348"/>
      <c r="D162" s="348"/>
      <c r="E162" s="375">
        <v>43194</v>
      </c>
      <c r="F162" s="350" t="s">
        <v>961</v>
      </c>
      <c r="G162" s="350">
        <v>2018</v>
      </c>
      <c r="H162" s="353">
        <v>12000000</v>
      </c>
      <c r="I162" s="349" t="s">
        <v>767</v>
      </c>
      <c r="J162" s="350" t="s">
        <v>4</v>
      </c>
      <c r="K162" s="328"/>
      <c r="L162" s="328"/>
    </row>
    <row r="163" spans="1:12" ht="15.75" x14ac:dyDescent="0.25">
      <c r="A163" s="349">
        <v>27</v>
      </c>
      <c r="B163" s="348" t="s">
        <v>981</v>
      </c>
      <c r="C163" s="348"/>
      <c r="D163" s="348"/>
      <c r="E163" s="375">
        <v>43194</v>
      </c>
      <c r="F163" s="350" t="s">
        <v>961</v>
      </c>
      <c r="G163" s="350">
        <v>2018</v>
      </c>
      <c r="H163" s="353">
        <v>12000000</v>
      </c>
      <c r="I163" s="349" t="s">
        <v>767</v>
      </c>
      <c r="J163" s="350" t="s">
        <v>4</v>
      </c>
      <c r="K163" s="328"/>
      <c r="L163" s="328"/>
    </row>
    <row r="164" spans="1:12" ht="15.75" x14ac:dyDescent="0.25">
      <c r="A164" s="349">
        <v>28</v>
      </c>
      <c r="B164" s="348" t="s">
        <v>982</v>
      </c>
      <c r="C164" s="348"/>
      <c r="D164" s="348"/>
      <c r="E164" s="375">
        <v>43194</v>
      </c>
      <c r="F164" s="350" t="s">
        <v>961</v>
      </c>
      <c r="G164" s="350">
        <v>2018</v>
      </c>
      <c r="H164" s="353">
        <v>12000000</v>
      </c>
      <c r="I164" s="349" t="s">
        <v>767</v>
      </c>
      <c r="J164" s="350" t="s">
        <v>4</v>
      </c>
      <c r="K164" s="328"/>
      <c r="L164" s="328"/>
    </row>
    <row r="165" spans="1:12" ht="15.75" x14ac:dyDescent="0.25">
      <c r="A165" s="349">
        <v>29</v>
      </c>
      <c r="B165" s="351" t="s">
        <v>983</v>
      </c>
      <c r="C165" s="351"/>
      <c r="D165" s="351"/>
      <c r="E165" s="350" t="s">
        <v>984</v>
      </c>
      <c r="F165" s="329" t="s">
        <v>985</v>
      </c>
      <c r="G165" s="350">
        <v>2018</v>
      </c>
      <c r="H165" s="353">
        <v>10208400</v>
      </c>
      <c r="I165" s="350" t="s">
        <v>767</v>
      </c>
      <c r="J165" s="350" t="s">
        <v>4</v>
      </c>
      <c r="K165" s="328"/>
      <c r="L165" s="328"/>
    </row>
    <row r="166" spans="1:12" ht="15.75" x14ac:dyDescent="0.25">
      <c r="A166" s="349">
        <v>30</v>
      </c>
      <c r="B166" s="351" t="s">
        <v>986</v>
      </c>
      <c r="C166" s="351"/>
      <c r="D166" s="351"/>
      <c r="E166" s="350" t="s">
        <v>984</v>
      </c>
      <c r="F166" s="329" t="s">
        <v>985</v>
      </c>
      <c r="G166" s="350">
        <v>2018</v>
      </c>
      <c r="H166" s="353">
        <v>10208400</v>
      </c>
      <c r="I166" s="350" t="s">
        <v>767</v>
      </c>
      <c r="J166" s="350" t="s">
        <v>4</v>
      </c>
      <c r="K166" s="328"/>
      <c r="L166" s="328"/>
    </row>
    <row r="167" spans="1:12" ht="15.75" x14ac:dyDescent="0.25">
      <c r="A167" s="349">
        <v>31</v>
      </c>
      <c r="B167" s="351" t="s">
        <v>987</v>
      </c>
      <c r="C167" s="351"/>
      <c r="D167" s="351"/>
      <c r="E167" s="350" t="s">
        <v>984</v>
      </c>
      <c r="F167" s="329" t="s">
        <v>985</v>
      </c>
      <c r="G167" s="350">
        <v>2018</v>
      </c>
      <c r="H167" s="353">
        <v>10208400</v>
      </c>
      <c r="I167" s="350" t="s">
        <v>767</v>
      </c>
      <c r="J167" s="350" t="s">
        <v>4</v>
      </c>
      <c r="K167" s="328"/>
      <c r="L167" s="328"/>
    </row>
    <row r="168" spans="1:12" ht="15.75" x14ac:dyDescent="0.25">
      <c r="A168" s="349">
        <v>32</v>
      </c>
      <c r="B168" s="351" t="s">
        <v>988</v>
      </c>
      <c r="C168" s="351"/>
      <c r="D168" s="351"/>
      <c r="E168" s="350" t="s">
        <v>989</v>
      </c>
      <c r="F168" s="350" t="s">
        <v>961</v>
      </c>
      <c r="G168" s="350">
        <v>2018</v>
      </c>
      <c r="H168" s="353">
        <v>79275286</v>
      </c>
      <c r="I168" s="350" t="s">
        <v>767</v>
      </c>
      <c r="J168" s="350" t="s">
        <v>4</v>
      </c>
      <c r="K168" s="328"/>
      <c r="L168" s="328"/>
    </row>
    <row r="169" spans="1:12" ht="15.75" x14ac:dyDescent="0.25">
      <c r="A169" s="349">
        <v>33</v>
      </c>
      <c r="B169" s="351" t="s">
        <v>990</v>
      </c>
      <c r="C169" s="351"/>
      <c r="D169" s="351"/>
      <c r="E169" s="350" t="s">
        <v>991</v>
      </c>
      <c r="F169" s="350" t="s">
        <v>961</v>
      </c>
      <c r="G169" s="350">
        <v>2018</v>
      </c>
      <c r="H169" s="353">
        <v>149082300</v>
      </c>
      <c r="I169" s="350" t="s">
        <v>767</v>
      </c>
      <c r="J169" s="350" t="s">
        <v>4</v>
      </c>
      <c r="K169" s="328"/>
      <c r="L169" s="328"/>
    </row>
    <row r="170" spans="1:12" ht="15.75" x14ac:dyDescent="0.25">
      <c r="A170" s="349">
        <v>34</v>
      </c>
      <c r="B170" s="351" t="s">
        <v>992</v>
      </c>
      <c r="C170" s="351"/>
      <c r="D170" s="351"/>
      <c r="E170" s="350" t="s">
        <v>991</v>
      </c>
      <c r="F170" s="350" t="s">
        <v>961</v>
      </c>
      <c r="G170" s="350">
        <v>2018</v>
      </c>
      <c r="H170" s="353">
        <v>48853964</v>
      </c>
      <c r="I170" s="350" t="s">
        <v>767</v>
      </c>
      <c r="J170" s="350" t="s">
        <v>4</v>
      </c>
      <c r="K170" s="328"/>
      <c r="L170" s="328"/>
    </row>
    <row r="171" spans="1:12" ht="15.75" x14ac:dyDescent="0.25">
      <c r="A171" s="349">
        <v>35</v>
      </c>
      <c r="B171" s="348" t="s">
        <v>969</v>
      </c>
      <c r="C171" s="348"/>
      <c r="D171" s="348"/>
      <c r="E171" s="349" t="s">
        <v>940</v>
      </c>
      <c r="F171" s="350" t="s">
        <v>964</v>
      </c>
      <c r="G171" s="350">
        <v>2019</v>
      </c>
      <c r="H171" s="353">
        <v>14609100</v>
      </c>
      <c r="I171" s="349" t="s">
        <v>767</v>
      </c>
      <c r="J171" s="350" t="s">
        <v>4</v>
      </c>
      <c r="K171" s="328"/>
      <c r="L171" s="328"/>
    </row>
    <row r="172" spans="1:12" ht="15.75" x14ac:dyDescent="0.25">
      <c r="A172" s="349"/>
      <c r="B172" s="363" t="s">
        <v>993</v>
      </c>
      <c r="C172" s="348"/>
      <c r="D172" s="348"/>
      <c r="E172" s="349"/>
      <c r="F172" s="350"/>
      <c r="G172" s="350"/>
      <c r="H172" s="352">
        <f>SUM(H137:H171)</f>
        <v>1210008290</v>
      </c>
      <c r="I172" s="349"/>
      <c r="J172" s="350"/>
      <c r="K172" s="328"/>
      <c r="L172" s="328"/>
    </row>
    <row r="173" spans="1:12" ht="15.75" x14ac:dyDescent="0.25">
      <c r="A173" s="533" t="s">
        <v>279</v>
      </c>
      <c r="B173" s="338" t="s">
        <v>747</v>
      </c>
      <c r="C173" s="535" t="s">
        <v>748</v>
      </c>
      <c r="D173" s="535"/>
      <c r="E173" s="535"/>
      <c r="F173" s="339" t="s">
        <v>749</v>
      </c>
      <c r="G173" s="339" t="s">
        <v>750</v>
      </c>
      <c r="H173" s="340" t="s">
        <v>751</v>
      </c>
      <c r="I173" s="338" t="s">
        <v>752</v>
      </c>
      <c r="J173" s="536" t="s">
        <v>753</v>
      </c>
      <c r="K173" s="328"/>
      <c r="L173" s="328"/>
    </row>
    <row r="174" spans="1:12" ht="15.75" x14ac:dyDescent="0.25">
      <c r="A174" s="534"/>
      <c r="B174" s="342" t="s">
        <v>754</v>
      </c>
      <c r="C174" s="343" t="s">
        <v>755</v>
      </c>
      <c r="D174" s="343" t="s">
        <v>756</v>
      </c>
      <c r="E174" s="343" t="s">
        <v>757</v>
      </c>
      <c r="F174" s="344" t="s">
        <v>758</v>
      </c>
      <c r="G174" s="344" t="s">
        <v>759</v>
      </c>
      <c r="H174" s="345" t="s">
        <v>759</v>
      </c>
      <c r="I174" s="342" t="s">
        <v>760</v>
      </c>
      <c r="J174" s="536"/>
      <c r="K174" s="328"/>
      <c r="L174" s="328"/>
    </row>
    <row r="175" spans="1:12" ht="15.75" x14ac:dyDescent="0.25">
      <c r="A175" s="349"/>
      <c r="B175" s="363" t="s">
        <v>994</v>
      </c>
      <c r="C175" s="348"/>
      <c r="D175" s="348"/>
      <c r="E175" s="349"/>
      <c r="F175" s="350"/>
      <c r="G175" s="350"/>
      <c r="H175" s="352">
        <f>H172</f>
        <v>1210008290</v>
      </c>
      <c r="I175" s="349"/>
      <c r="J175" s="350"/>
      <c r="K175" s="328"/>
      <c r="L175" s="328"/>
    </row>
    <row r="176" spans="1:12" ht="15.75" x14ac:dyDescent="0.25">
      <c r="A176" s="349">
        <v>36</v>
      </c>
      <c r="B176" s="348" t="s">
        <v>971</v>
      </c>
      <c r="C176" s="348"/>
      <c r="D176" s="348"/>
      <c r="E176" s="349" t="s">
        <v>940</v>
      </c>
      <c r="F176" s="350" t="s">
        <v>964</v>
      </c>
      <c r="G176" s="350">
        <v>2019</v>
      </c>
      <c r="H176" s="353">
        <v>14609100</v>
      </c>
      <c r="I176" s="349" t="s">
        <v>767</v>
      </c>
      <c r="J176" s="383" t="s">
        <v>4</v>
      </c>
      <c r="K176" s="328"/>
      <c r="L176" s="328"/>
    </row>
    <row r="177" spans="1:12" ht="15.75" x14ac:dyDescent="0.25">
      <c r="A177" s="349">
        <v>37</v>
      </c>
      <c r="B177" s="348" t="s">
        <v>972</v>
      </c>
      <c r="C177" s="348"/>
      <c r="D177" s="348"/>
      <c r="E177" s="349" t="s">
        <v>940</v>
      </c>
      <c r="F177" s="350" t="s">
        <v>964</v>
      </c>
      <c r="G177" s="350">
        <v>2019</v>
      </c>
      <c r="H177" s="353">
        <v>14609100</v>
      </c>
      <c r="I177" s="349" t="s">
        <v>767</v>
      </c>
      <c r="J177" s="350" t="s">
        <v>4</v>
      </c>
      <c r="K177" s="328"/>
      <c r="L177" s="328"/>
    </row>
    <row r="178" spans="1:12" ht="15.75" x14ac:dyDescent="0.25">
      <c r="A178" s="349">
        <v>38</v>
      </c>
      <c r="B178" s="348" t="s">
        <v>974</v>
      </c>
      <c r="C178" s="348"/>
      <c r="D178" s="348"/>
      <c r="E178" s="349" t="s">
        <v>940</v>
      </c>
      <c r="F178" s="350" t="s">
        <v>964</v>
      </c>
      <c r="G178" s="350">
        <v>2019</v>
      </c>
      <c r="H178" s="353">
        <v>14609100</v>
      </c>
      <c r="I178" s="349" t="s">
        <v>767</v>
      </c>
      <c r="J178" s="350" t="s">
        <v>4</v>
      </c>
      <c r="K178" s="328"/>
      <c r="L178" s="328"/>
    </row>
    <row r="179" spans="1:12" ht="15.75" x14ac:dyDescent="0.25">
      <c r="A179" s="349">
        <v>39</v>
      </c>
      <c r="B179" s="348" t="s">
        <v>975</v>
      </c>
      <c r="C179" s="348"/>
      <c r="D179" s="348"/>
      <c r="E179" s="349" t="s">
        <v>940</v>
      </c>
      <c r="F179" s="350" t="s">
        <v>964</v>
      </c>
      <c r="G179" s="350">
        <v>2019</v>
      </c>
      <c r="H179" s="353">
        <v>14609100</v>
      </c>
      <c r="I179" s="349" t="s">
        <v>767</v>
      </c>
      <c r="J179" s="350" t="s">
        <v>4</v>
      </c>
      <c r="K179" s="328"/>
      <c r="L179" s="328"/>
    </row>
    <row r="180" spans="1:12" ht="15.75" x14ac:dyDescent="0.25">
      <c r="A180" s="349">
        <v>40</v>
      </c>
      <c r="B180" s="348" t="s">
        <v>976</v>
      </c>
      <c r="C180" s="348"/>
      <c r="D180" s="348"/>
      <c r="E180" s="349" t="s">
        <v>940</v>
      </c>
      <c r="F180" s="350" t="s">
        <v>964</v>
      </c>
      <c r="G180" s="350">
        <v>2019</v>
      </c>
      <c r="H180" s="353">
        <v>14609100</v>
      </c>
      <c r="I180" s="349" t="s">
        <v>767</v>
      </c>
      <c r="J180" s="350" t="s">
        <v>4</v>
      </c>
      <c r="K180" s="328"/>
      <c r="L180" s="328"/>
    </row>
    <row r="181" spans="1:12" ht="15.75" x14ac:dyDescent="0.25">
      <c r="A181" s="349">
        <v>41</v>
      </c>
      <c r="B181" s="348" t="s">
        <v>977</v>
      </c>
      <c r="C181" s="348"/>
      <c r="D181" s="348"/>
      <c r="E181" s="349" t="s">
        <v>940</v>
      </c>
      <c r="F181" s="350" t="s">
        <v>964</v>
      </c>
      <c r="G181" s="350">
        <v>2019</v>
      </c>
      <c r="H181" s="353">
        <v>14609100</v>
      </c>
      <c r="I181" s="349" t="s">
        <v>767</v>
      </c>
      <c r="J181" s="350" t="s">
        <v>4</v>
      </c>
      <c r="K181" s="328"/>
      <c r="L181" s="328"/>
    </row>
    <row r="182" spans="1:12" ht="15.75" x14ac:dyDescent="0.25">
      <c r="A182" s="349">
        <v>42</v>
      </c>
      <c r="B182" s="348" t="s">
        <v>978</v>
      </c>
      <c r="C182" s="348"/>
      <c r="D182" s="348"/>
      <c r="E182" s="349" t="s">
        <v>940</v>
      </c>
      <c r="F182" s="350" t="s">
        <v>964</v>
      </c>
      <c r="G182" s="350">
        <v>2019</v>
      </c>
      <c r="H182" s="353">
        <v>14609100</v>
      </c>
      <c r="I182" s="349" t="s">
        <v>767</v>
      </c>
      <c r="J182" s="350" t="s">
        <v>4</v>
      </c>
      <c r="K182" s="328"/>
      <c r="L182" s="328"/>
    </row>
    <row r="183" spans="1:12" ht="15.75" x14ac:dyDescent="0.25">
      <c r="A183" s="349">
        <v>43</v>
      </c>
      <c r="B183" s="348" t="s">
        <v>995</v>
      </c>
      <c r="C183" s="348"/>
      <c r="D183" s="348"/>
      <c r="E183" s="349" t="s">
        <v>940</v>
      </c>
      <c r="F183" s="350" t="s">
        <v>964</v>
      </c>
      <c r="G183" s="350">
        <v>2019</v>
      </c>
      <c r="H183" s="353">
        <v>14609100</v>
      </c>
      <c r="I183" s="349" t="s">
        <v>767</v>
      </c>
      <c r="J183" s="350" t="s">
        <v>4</v>
      </c>
      <c r="K183" s="328"/>
      <c r="L183" s="328"/>
    </row>
    <row r="184" spans="1:12" ht="15.75" x14ac:dyDescent="0.25">
      <c r="A184" s="349">
        <v>44</v>
      </c>
      <c r="B184" s="348" t="s">
        <v>996</v>
      </c>
      <c r="C184" s="348"/>
      <c r="D184" s="348"/>
      <c r="E184" s="349" t="s">
        <v>997</v>
      </c>
      <c r="F184" s="329" t="s">
        <v>950</v>
      </c>
      <c r="G184" s="350">
        <v>2019</v>
      </c>
      <c r="H184" s="353">
        <v>51864700</v>
      </c>
      <c r="I184" s="349" t="s">
        <v>767</v>
      </c>
      <c r="J184" s="350" t="s">
        <v>4</v>
      </c>
      <c r="K184" s="328"/>
      <c r="L184" s="328"/>
    </row>
    <row r="185" spans="1:12" ht="15.75" x14ac:dyDescent="0.25">
      <c r="A185" s="349">
        <v>45</v>
      </c>
      <c r="B185" s="348" t="s">
        <v>998</v>
      </c>
      <c r="C185" s="348"/>
      <c r="D185" s="348"/>
      <c r="E185" s="349" t="s">
        <v>999</v>
      </c>
      <c r="F185" s="329" t="s">
        <v>950</v>
      </c>
      <c r="G185" s="350">
        <v>2019</v>
      </c>
      <c r="H185" s="353">
        <v>49262700</v>
      </c>
      <c r="I185" s="349" t="s">
        <v>767</v>
      </c>
      <c r="J185" s="350" t="s">
        <v>4</v>
      </c>
      <c r="K185" s="328"/>
      <c r="L185" s="328"/>
    </row>
    <row r="186" spans="1:12" ht="15.75" x14ac:dyDescent="0.25">
      <c r="A186" s="349">
        <v>46</v>
      </c>
      <c r="B186" s="348" t="s">
        <v>1000</v>
      </c>
      <c r="C186" s="348"/>
      <c r="D186" s="348"/>
      <c r="E186" s="349" t="s">
        <v>999</v>
      </c>
      <c r="F186" s="329" t="s">
        <v>985</v>
      </c>
      <c r="G186" s="350">
        <v>2019</v>
      </c>
      <c r="H186" s="353">
        <v>40837800</v>
      </c>
      <c r="I186" s="349" t="s">
        <v>767</v>
      </c>
      <c r="J186" s="350" t="s">
        <v>4</v>
      </c>
      <c r="K186" s="328"/>
      <c r="L186" s="328"/>
    </row>
    <row r="187" spans="1:12" ht="15.75" x14ac:dyDescent="0.25">
      <c r="A187" s="349">
        <v>47</v>
      </c>
      <c r="B187" s="351" t="s">
        <v>1001</v>
      </c>
      <c r="C187" s="351"/>
      <c r="D187" s="351"/>
      <c r="E187" s="350" t="s">
        <v>932</v>
      </c>
      <c r="F187" s="329" t="s">
        <v>985</v>
      </c>
      <c r="G187" s="350">
        <v>2019</v>
      </c>
      <c r="H187" s="353">
        <v>49825600</v>
      </c>
      <c r="I187" s="349" t="s">
        <v>767</v>
      </c>
      <c r="J187" s="350" t="s">
        <v>892</v>
      </c>
      <c r="K187" s="328"/>
      <c r="L187" s="328"/>
    </row>
    <row r="188" spans="1:12" ht="15.75" x14ac:dyDescent="0.25">
      <c r="A188" s="349">
        <v>48</v>
      </c>
      <c r="B188" s="348" t="s">
        <v>988</v>
      </c>
      <c r="C188" s="348"/>
      <c r="D188" s="348"/>
      <c r="E188" s="349" t="s">
        <v>1002</v>
      </c>
      <c r="F188" s="350" t="s">
        <v>961</v>
      </c>
      <c r="G188" s="350">
        <v>2019</v>
      </c>
      <c r="H188" s="353">
        <v>120150715</v>
      </c>
      <c r="I188" s="349" t="s">
        <v>767</v>
      </c>
      <c r="J188" s="350" t="s">
        <v>4</v>
      </c>
      <c r="K188" s="328"/>
      <c r="L188" s="328"/>
    </row>
    <row r="189" spans="1:12" ht="15.75" x14ac:dyDescent="0.25">
      <c r="A189" s="349">
        <v>49</v>
      </c>
      <c r="B189" s="348" t="s">
        <v>1003</v>
      </c>
      <c r="C189" s="348"/>
      <c r="D189" s="348"/>
      <c r="E189" s="349" t="s">
        <v>1002</v>
      </c>
      <c r="F189" s="350" t="s">
        <v>961</v>
      </c>
      <c r="G189" s="350">
        <v>2019</v>
      </c>
      <c r="H189" s="353">
        <v>72838520</v>
      </c>
      <c r="I189" s="349" t="s">
        <v>767</v>
      </c>
      <c r="J189" s="350" t="s">
        <v>4</v>
      </c>
      <c r="K189" s="328"/>
      <c r="L189" s="328"/>
    </row>
    <row r="190" spans="1:12" ht="15.75" x14ac:dyDescent="0.25">
      <c r="A190" s="349">
        <v>50</v>
      </c>
      <c r="B190" s="348" t="s">
        <v>1004</v>
      </c>
      <c r="C190" s="348"/>
      <c r="D190" s="348"/>
      <c r="E190" s="349" t="s">
        <v>1002</v>
      </c>
      <c r="F190" s="350" t="s">
        <v>961</v>
      </c>
      <c r="G190" s="350">
        <v>2019</v>
      </c>
      <c r="H190" s="353">
        <v>64884670</v>
      </c>
      <c r="I190" s="349" t="s">
        <v>767</v>
      </c>
      <c r="J190" s="350" t="s">
        <v>4</v>
      </c>
      <c r="K190" s="328"/>
      <c r="L190" s="328"/>
    </row>
    <row r="191" spans="1:12" ht="15.75" x14ac:dyDescent="0.25">
      <c r="A191" s="349">
        <v>51</v>
      </c>
      <c r="B191" s="348" t="s">
        <v>1005</v>
      </c>
      <c r="C191" s="348"/>
      <c r="D191" s="348"/>
      <c r="E191" s="349" t="s">
        <v>1002</v>
      </c>
      <c r="F191" s="350" t="s">
        <v>961</v>
      </c>
      <c r="G191" s="350">
        <v>2019</v>
      </c>
      <c r="H191" s="353">
        <v>183225245</v>
      </c>
      <c r="I191" s="349" t="s">
        <v>767</v>
      </c>
      <c r="J191" s="350" t="s">
        <v>4</v>
      </c>
      <c r="K191" s="328"/>
      <c r="L191" s="328"/>
    </row>
    <row r="192" spans="1:12" ht="15.75" x14ac:dyDescent="0.25">
      <c r="A192" s="349">
        <v>52</v>
      </c>
      <c r="B192" s="351" t="s">
        <v>1006</v>
      </c>
      <c r="C192" s="351"/>
      <c r="D192" s="351"/>
      <c r="E192" s="349" t="s">
        <v>940</v>
      </c>
      <c r="F192" s="350" t="s">
        <v>961</v>
      </c>
      <c r="G192" s="350">
        <v>2019</v>
      </c>
      <c r="H192" s="353">
        <v>14609050</v>
      </c>
      <c r="I192" s="349" t="s">
        <v>767</v>
      </c>
      <c r="J192" s="350" t="s">
        <v>4</v>
      </c>
      <c r="K192" s="328"/>
      <c r="L192" s="328"/>
    </row>
    <row r="193" spans="1:14" ht="15.75" x14ac:dyDescent="0.25">
      <c r="A193" s="349">
        <v>53</v>
      </c>
      <c r="B193" s="351" t="s">
        <v>1007</v>
      </c>
      <c r="C193" s="351"/>
      <c r="D193" s="351"/>
      <c r="E193" s="349" t="s">
        <v>940</v>
      </c>
      <c r="F193" s="350" t="s">
        <v>961</v>
      </c>
      <c r="G193" s="350">
        <v>2019</v>
      </c>
      <c r="H193" s="353">
        <v>14609000</v>
      </c>
      <c r="I193" s="349" t="s">
        <v>767</v>
      </c>
      <c r="J193" s="350" t="s">
        <v>4</v>
      </c>
      <c r="K193" s="328"/>
      <c r="L193" s="328"/>
    </row>
    <row r="194" spans="1:14" ht="15.75" x14ac:dyDescent="0.25">
      <c r="A194" s="349">
        <v>54</v>
      </c>
      <c r="B194" s="348" t="s">
        <v>1008</v>
      </c>
      <c r="C194" s="348"/>
      <c r="D194" s="348"/>
      <c r="E194" s="354">
        <v>43651</v>
      </c>
      <c r="F194" s="350" t="s">
        <v>953</v>
      </c>
      <c r="G194" s="350">
        <v>2019</v>
      </c>
      <c r="H194" s="353">
        <v>15374900</v>
      </c>
      <c r="I194" s="349" t="s">
        <v>767</v>
      </c>
      <c r="J194" s="350" t="s">
        <v>4</v>
      </c>
      <c r="K194" s="328"/>
      <c r="L194" s="328"/>
    </row>
    <row r="195" spans="1:14" ht="15.75" x14ac:dyDescent="0.25">
      <c r="A195" s="349">
        <v>55</v>
      </c>
      <c r="B195" s="351" t="s">
        <v>1009</v>
      </c>
      <c r="C195" s="351"/>
      <c r="D195" s="351"/>
      <c r="E195" s="375" t="s">
        <v>1010</v>
      </c>
      <c r="F195" s="350" t="s">
        <v>1011</v>
      </c>
      <c r="G195" s="350">
        <v>2020</v>
      </c>
      <c r="H195" s="353">
        <v>12000000</v>
      </c>
      <c r="I195" s="350" t="s">
        <v>767</v>
      </c>
      <c r="J195" s="350" t="s">
        <v>4</v>
      </c>
      <c r="K195" s="328"/>
      <c r="L195" s="328"/>
    </row>
    <row r="196" spans="1:14" ht="15.75" x14ac:dyDescent="0.25">
      <c r="A196" s="349">
        <v>56</v>
      </c>
      <c r="B196" s="351" t="s">
        <v>1023</v>
      </c>
      <c r="C196" s="351"/>
      <c r="D196" s="351"/>
      <c r="E196" s="375" t="s">
        <v>1012</v>
      </c>
      <c r="F196" s="350" t="s">
        <v>961</v>
      </c>
      <c r="G196" s="350">
        <v>2020</v>
      </c>
      <c r="H196" s="390">
        <v>132557400</v>
      </c>
      <c r="I196" s="350" t="s">
        <v>767</v>
      </c>
      <c r="J196" s="350" t="s">
        <v>4</v>
      </c>
      <c r="K196" s="326"/>
      <c r="L196" s="391"/>
    </row>
    <row r="197" spans="1:14" ht="15.75" x14ac:dyDescent="0.25">
      <c r="A197" s="349">
        <v>57</v>
      </c>
      <c r="B197" s="351" t="s">
        <v>1024</v>
      </c>
      <c r="C197" s="351"/>
      <c r="D197" s="351"/>
      <c r="E197" s="375" t="s">
        <v>1012</v>
      </c>
      <c r="F197" s="350" t="s">
        <v>961</v>
      </c>
      <c r="G197" s="350">
        <v>2020</v>
      </c>
      <c r="H197" s="390">
        <v>63968100</v>
      </c>
      <c r="I197" s="350" t="s">
        <v>767</v>
      </c>
      <c r="J197" s="350" t="s">
        <v>4</v>
      </c>
      <c r="K197" s="326"/>
      <c r="L197" s="326"/>
    </row>
    <row r="198" spans="1:14" ht="15.75" x14ac:dyDescent="0.25">
      <c r="A198" s="349">
        <v>58</v>
      </c>
      <c r="B198" s="351" t="s">
        <v>1025</v>
      </c>
      <c r="C198" s="351"/>
      <c r="D198" s="351"/>
      <c r="E198" s="375" t="s">
        <v>1012</v>
      </c>
      <c r="F198" s="350" t="s">
        <v>961</v>
      </c>
      <c r="G198" s="350">
        <v>2020</v>
      </c>
      <c r="H198" s="390">
        <v>97344450</v>
      </c>
      <c r="I198" s="350" t="s">
        <v>767</v>
      </c>
      <c r="J198" s="350" t="s">
        <v>4</v>
      </c>
      <c r="K198" s="326"/>
      <c r="L198" s="326"/>
    </row>
    <row r="199" spans="1:14" ht="15.75" x14ac:dyDescent="0.25">
      <c r="A199" s="349">
        <v>59</v>
      </c>
      <c r="B199" s="351" t="s">
        <v>1013</v>
      </c>
      <c r="C199" s="351"/>
      <c r="D199" s="351"/>
      <c r="E199" s="375" t="s">
        <v>943</v>
      </c>
      <c r="F199" s="350" t="s">
        <v>1011</v>
      </c>
      <c r="G199" s="350">
        <v>2020</v>
      </c>
      <c r="H199" s="353">
        <v>28190130</v>
      </c>
      <c r="I199" s="350" t="s">
        <v>767</v>
      </c>
      <c r="J199" s="350" t="s">
        <v>4</v>
      </c>
      <c r="K199" s="326"/>
      <c r="L199" s="326"/>
    </row>
    <row r="200" spans="1:14" ht="15.75" x14ac:dyDescent="0.25">
      <c r="A200" s="349">
        <v>92</v>
      </c>
      <c r="B200" s="351" t="s">
        <v>905</v>
      </c>
      <c r="C200" s="351"/>
      <c r="D200" s="351"/>
      <c r="E200" s="375" t="s">
        <v>906</v>
      </c>
      <c r="F200" s="350" t="s">
        <v>907</v>
      </c>
      <c r="G200" s="350">
        <v>2020</v>
      </c>
      <c r="H200" s="353">
        <v>21721550</v>
      </c>
      <c r="I200" s="350" t="s">
        <v>767</v>
      </c>
      <c r="J200" s="350" t="s">
        <v>791</v>
      </c>
      <c r="K200" s="326"/>
      <c r="L200" s="326"/>
    </row>
    <row r="201" spans="1:14" ht="15.75" x14ac:dyDescent="0.25">
      <c r="A201" s="349">
        <v>60</v>
      </c>
      <c r="B201" s="351" t="s">
        <v>1014</v>
      </c>
      <c r="C201" s="351"/>
      <c r="D201" s="351"/>
      <c r="E201" s="375" t="s">
        <v>943</v>
      </c>
      <c r="F201" s="350" t="s">
        <v>1011</v>
      </c>
      <c r="G201" s="350">
        <v>2020</v>
      </c>
      <c r="H201" s="353">
        <v>9130650</v>
      </c>
      <c r="I201" s="350" t="s">
        <v>767</v>
      </c>
      <c r="J201" s="350" t="s">
        <v>4</v>
      </c>
      <c r="K201" s="326"/>
      <c r="L201" s="326"/>
    </row>
    <row r="202" spans="1:14" ht="15.75" x14ac:dyDescent="0.25">
      <c r="A202" s="376"/>
      <c r="B202" s="376" t="s">
        <v>1015</v>
      </c>
      <c r="C202" s="357"/>
      <c r="D202" s="357"/>
      <c r="E202" s="376"/>
      <c r="F202" s="378"/>
      <c r="G202" s="379"/>
      <c r="H202" s="380">
        <f>SUM(H175:H201)</f>
        <v>2369276270</v>
      </c>
      <c r="I202" s="357"/>
      <c r="J202" s="378"/>
      <c r="K202" s="381"/>
      <c r="L202" s="381"/>
    </row>
    <row r="203" spans="1:14" ht="15.75" x14ac:dyDescent="0.25">
      <c r="A203" s="346"/>
      <c r="B203" s="348"/>
      <c r="C203" s="348"/>
      <c r="D203" s="348"/>
      <c r="E203" s="349"/>
      <c r="F203" s="350"/>
      <c r="G203" s="351"/>
      <c r="H203" s="353"/>
      <c r="I203" s="348"/>
      <c r="J203" s="350"/>
      <c r="K203" s="328"/>
      <c r="L203" s="328"/>
    </row>
    <row r="204" spans="1:14" ht="15.75" x14ac:dyDescent="0.25">
      <c r="A204" s="346" t="s">
        <v>1016</v>
      </c>
      <c r="B204" s="347" t="s">
        <v>1017</v>
      </c>
      <c r="C204" s="348"/>
      <c r="D204" s="348"/>
      <c r="E204" s="349"/>
      <c r="F204" s="350"/>
      <c r="G204" s="351"/>
      <c r="H204" s="352">
        <f>H205</f>
        <v>47877800</v>
      </c>
      <c r="I204" s="348"/>
      <c r="J204" s="350"/>
      <c r="K204" s="328"/>
      <c r="L204" s="328"/>
    </row>
    <row r="205" spans="1:14" ht="15.75" x14ac:dyDescent="0.25">
      <c r="A205" s="349">
        <v>1</v>
      </c>
      <c r="B205" s="348" t="s">
        <v>843</v>
      </c>
      <c r="C205" s="348"/>
      <c r="D205" s="348"/>
      <c r="E205" s="354">
        <v>43891</v>
      </c>
      <c r="F205" s="350" t="s">
        <v>844</v>
      </c>
      <c r="G205" s="350">
        <v>2020</v>
      </c>
      <c r="H205" s="353">
        <v>47877800</v>
      </c>
      <c r="I205" s="349" t="s">
        <v>767</v>
      </c>
      <c r="J205" s="350" t="s">
        <v>894</v>
      </c>
      <c r="K205" s="328"/>
      <c r="L205" s="328"/>
    </row>
    <row r="206" spans="1:14" ht="15.75" x14ac:dyDescent="0.25">
      <c r="A206" s="346"/>
      <c r="B206" s="348"/>
      <c r="C206" s="348"/>
      <c r="D206" s="348"/>
      <c r="E206" s="349"/>
      <c r="F206" s="350"/>
      <c r="G206" s="351"/>
      <c r="H206" s="353"/>
      <c r="I206" s="348"/>
      <c r="J206" s="350"/>
      <c r="K206" s="328"/>
      <c r="L206" s="328"/>
    </row>
    <row r="207" spans="1:14" ht="15.75" x14ac:dyDescent="0.25">
      <c r="A207" s="346" t="s">
        <v>1018</v>
      </c>
      <c r="B207" s="347" t="s">
        <v>1019</v>
      </c>
      <c r="C207" s="348"/>
      <c r="D207" s="348"/>
      <c r="E207" s="349"/>
      <c r="F207" s="350"/>
      <c r="G207" s="351"/>
      <c r="H207" s="352">
        <v>0</v>
      </c>
      <c r="I207" s="348"/>
      <c r="J207" s="350"/>
      <c r="K207" s="328"/>
      <c r="L207" s="328"/>
      <c r="N207" s="47">
        <f>H209-CALK!F287</f>
        <v>0</v>
      </c>
    </row>
    <row r="208" spans="1:14" ht="15.75" x14ac:dyDescent="0.25">
      <c r="A208" s="346"/>
      <c r="B208" s="348"/>
      <c r="C208" s="348"/>
      <c r="D208" s="348"/>
      <c r="E208" s="349"/>
      <c r="F208" s="350"/>
      <c r="G208" s="351"/>
      <c r="H208" s="353"/>
      <c r="I208" s="348"/>
      <c r="J208" s="350"/>
      <c r="K208" s="328"/>
      <c r="L208" s="328"/>
    </row>
    <row r="209" spans="1:12" ht="15.75" x14ac:dyDescent="0.25">
      <c r="A209" s="346"/>
      <c r="B209" s="346" t="s">
        <v>1020</v>
      </c>
      <c r="C209" s="346"/>
      <c r="D209" s="346"/>
      <c r="E209" s="346"/>
      <c r="F209" s="363"/>
      <c r="G209" s="363"/>
      <c r="H209" s="386">
        <f>H10+H112+H135+H202+H204</f>
        <v>3646863110</v>
      </c>
      <c r="I209" s="346"/>
      <c r="J209" s="363"/>
      <c r="K209" s="387"/>
      <c r="L209" s="387"/>
    </row>
    <row r="212" spans="1:12" ht="15.75" x14ac:dyDescent="0.25">
      <c r="H212" s="327" t="s">
        <v>1022</v>
      </c>
    </row>
    <row r="213" spans="1:12" ht="15.75" x14ac:dyDescent="0.25">
      <c r="H213" s="392" t="s">
        <v>224</v>
      </c>
    </row>
    <row r="214" spans="1:12" ht="15.75" x14ac:dyDescent="0.25">
      <c r="H214" s="327"/>
    </row>
    <row r="215" spans="1:12" ht="15.75" x14ac:dyDescent="0.25">
      <c r="H215" s="327"/>
    </row>
    <row r="216" spans="1:12" ht="15.75" x14ac:dyDescent="0.25">
      <c r="H216" s="327"/>
    </row>
    <row r="217" spans="1:12" ht="15.75" x14ac:dyDescent="0.25">
      <c r="H217" s="389" t="s">
        <v>1021</v>
      </c>
    </row>
    <row r="219" spans="1:12" x14ac:dyDescent="0.25">
      <c r="B219" t="s">
        <v>1040</v>
      </c>
    </row>
    <row r="220" spans="1:12" x14ac:dyDescent="0.25">
      <c r="B220" t="s">
        <v>1041</v>
      </c>
    </row>
    <row r="221" spans="1:12" x14ac:dyDescent="0.25">
      <c r="B221" t="s">
        <v>1042</v>
      </c>
    </row>
  </sheetData>
  <mergeCells count="18">
    <mergeCell ref="A4:K4"/>
    <mergeCell ref="A5:K5"/>
    <mergeCell ref="A6:K6"/>
    <mergeCell ref="A8:A9"/>
    <mergeCell ref="C8:E8"/>
    <mergeCell ref="J8:J9"/>
    <mergeCell ref="A44:A45"/>
    <mergeCell ref="C44:E44"/>
    <mergeCell ref="J44:J45"/>
    <mergeCell ref="A88:A89"/>
    <mergeCell ref="C88:E88"/>
    <mergeCell ref="J88:J89"/>
    <mergeCell ref="A129:A130"/>
    <mergeCell ref="C129:E129"/>
    <mergeCell ref="J129:J130"/>
    <mergeCell ref="A173:A174"/>
    <mergeCell ref="C173:E173"/>
    <mergeCell ref="J173:J17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1"/>
  <sheetViews>
    <sheetView workbookViewId="0">
      <selection activeCell="A2" sqref="A2:K2"/>
    </sheetView>
  </sheetViews>
  <sheetFormatPr defaultRowHeight="15" x14ac:dyDescent="0.25"/>
  <cols>
    <col min="1" max="1" width="4.85546875" style="397" customWidth="1"/>
    <col min="2" max="2" width="6.7109375" style="397" customWidth="1"/>
    <col min="3" max="3" width="7.28515625" style="397" customWidth="1"/>
    <col min="4" max="4" width="3" style="397" customWidth="1"/>
    <col min="5" max="5" width="52.28515625" style="397" customWidth="1"/>
    <col min="6" max="6" width="15.7109375" style="473" customWidth="1"/>
    <col min="7" max="7" width="15.28515625" style="397" hidden="1" customWidth="1"/>
    <col min="8" max="8" width="0.140625" style="397" hidden="1" customWidth="1"/>
    <col min="9" max="10" width="15.5703125" style="397" customWidth="1"/>
    <col min="11" max="11" width="9.140625" style="397"/>
  </cols>
  <sheetData>
    <row r="1" spans="1:11" ht="15.75" x14ac:dyDescent="0.25">
      <c r="A1" s="541" t="s">
        <v>1034</v>
      </c>
      <c r="B1" s="541"/>
      <c r="C1" s="541"/>
      <c r="D1" s="541"/>
      <c r="E1" s="541"/>
      <c r="F1" s="541"/>
      <c r="G1" s="541"/>
      <c r="H1" s="541"/>
      <c r="I1" s="541"/>
      <c r="J1" s="541"/>
      <c r="K1" s="541"/>
    </row>
    <row r="2" spans="1:11" ht="15.75" x14ac:dyDescent="0.25">
      <c r="A2" s="542" t="s">
        <v>1032</v>
      </c>
      <c r="B2" s="542"/>
      <c r="C2" s="542"/>
      <c r="D2" s="542"/>
      <c r="E2" s="542"/>
      <c r="F2" s="542"/>
      <c r="G2" s="542"/>
      <c r="H2" s="542"/>
      <c r="I2" s="542"/>
      <c r="J2" s="542"/>
      <c r="K2" s="542"/>
    </row>
    <row r="3" spans="1:11" x14ac:dyDescent="0.25">
      <c r="A3" s="403"/>
      <c r="B3" s="403"/>
      <c r="C3" s="408"/>
      <c r="D3" s="403"/>
      <c r="E3" s="403"/>
      <c r="F3" s="403"/>
      <c r="G3" s="403"/>
      <c r="H3" s="403"/>
      <c r="I3" s="403"/>
      <c r="J3" s="403"/>
      <c r="K3" s="403"/>
    </row>
    <row r="4" spans="1:11" x14ac:dyDescent="0.25">
      <c r="A4" s="543" t="s">
        <v>279</v>
      </c>
      <c r="B4" s="544" t="s">
        <v>280</v>
      </c>
      <c r="C4" s="544"/>
      <c r="D4" s="545" t="s">
        <v>1028</v>
      </c>
      <c r="E4" s="545"/>
      <c r="F4" s="546" t="s">
        <v>1033</v>
      </c>
      <c r="G4" s="409" t="s">
        <v>281</v>
      </c>
      <c r="H4" s="409" t="s">
        <v>281</v>
      </c>
      <c r="I4" s="548" t="s">
        <v>1026</v>
      </c>
      <c r="J4" s="550" t="s">
        <v>1027</v>
      </c>
      <c r="K4" s="543" t="s">
        <v>282</v>
      </c>
    </row>
    <row r="5" spans="1:11" ht="25.5" customHeight="1" x14ac:dyDescent="0.25">
      <c r="A5" s="543"/>
      <c r="B5" s="544"/>
      <c r="C5" s="544"/>
      <c r="D5" s="545"/>
      <c r="E5" s="545"/>
      <c r="F5" s="547"/>
      <c r="G5" s="411" t="s">
        <v>283</v>
      </c>
      <c r="H5" s="410" t="s">
        <v>284</v>
      </c>
      <c r="I5" s="549"/>
      <c r="J5" s="551"/>
      <c r="K5" s="543"/>
    </row>
    <row r="6" spans="1:11" x14ac:dyDescent="0.25">
      <c r="A6" s="543"/>
      <c r="B6" s="544"/>
      <c r="C6" s="544"/>
      <c r="D6" s="545"/>
      <c r="E6" s="545"/>
      <c r="F6" s="412" t="s">
        <v>286</v>
      </c>
      <c r="G6" s="413" t="s">
        <v>286</v>
      </c>
      <c r="H6" s="412" t="s">
        <v>286</v>
      </c>
      <c r="I6" s="413" t="s">
        <v>286</v>
      </c>
      <c r="J6" s="412" t="s">
        <v>286</v>
      </c>
      <c r="K6" s="543"/>
    </row>
    <row r="7" spans="1:11" x14ac:dyDescent="0.25">
      <c r="A7" s="414"/>
      <c r="B7" s="414"/>
      <c r="C7" s="415">
        <v>4</v>
      </c>
      <c r="D7" s="416" t="s">
        <v>1</v>
      </c>
      <c r="E7" s="414"/>
      <c r="F7" s="417"/>
      <c r="G7" s="417"/>
      <c r="H7" s="417"/>
      <c r="I7" s="417"/>
      <c r="J7" s="417"/>
      <c r="K7" s="414"/>
    </row>
    <row r="8" spans="1:11" x14ac:dyDescent="0.25">
      <c r="A8" s="418"/>
      <c r="B8" s="418"/>
      <c r="C8" s="419" t="s">
        <v>287</v>
      </c>
      <c r="D8" s="418"/>
      <c r="E8" s="420" t="s">
        <v>2</v>
      </c>
      <c r="F8" s="421">
        <f>F9+F13</f>
        <v>70304900</v>
      </c>
      <c r="G8" s="421">
        <f>G9+G13</f>
        <v>25077500</v>
      </c>
      <c r="H8" s="421">
        <f>H9+H13</f>
        <v>44754900</v>
      </c>
      <c r="I8" s="421">
        <f>I9+I13</f>
        <v>69832400</v>
      </c>
      <c r="J8" s="421">
        <f>J9+J13</f>
        <v>472500</v>
      </c>
      <c r="K8" s="418"/>
    </row>
    <row r="9" spans="1:11" x14ac:dyDescent="0.25">
      <c r="A9" s="422"/>
      <c r="B9" s="422"/>
      <c r="C9" s="423" t="s">
        <v>288</v>
      </c>
      <c r="D9" s="422"/>
      <c r="E9" s="424" t="s">
        <v>289</v>
      </c>
      <c r="F9" s="425">
        <f>SUM(F10:F11)</f>
        <v>2500000</v>
      </c>
      <c r="G9" s="425">
        <f>SUM(G10:G11)</f>
        <v>2027500</v>
      </c>
      <c r="H9" s="425">
        <f>SUM(H10:H11)</f>
        <v>0</v>
      </c>
      <c r="I9" s="425">
        <f>SUM(I10:I11)</f>
        <v>2027500</v>
      </c>
      <c r="J9" s="425">
        <f>SUM(J10:J11)</f>
        <v>472500</v>
      </c>
      <c r="K9" s="422"/>
    </row>
    <row r="10" spans="1:11" x14ac:dyDescent="0.25">
      <c r="A10" s="426"/>
      <c r="B10" s="426"/>
      <c r="C10" s="427" t="s">
        <v>290</v>
      </c>
      <c r="D10" s="426"/>
      <c r="E10" s="428" t="s">
        <v>291</v>
      </c>
      <c r="F10" s="429">
        <v>1550000</v>
      </c>
      <c r="G10" s="429">
        <v>858500</v>
      </c>
      <c r="H10" s="429">
        <f>[2]Nov!I13</f>
        <v>0</v>
      </c>
      <c r="I10" s="429">
        <f>G10+H10</f>
        <v>858500</v>
      </c>
      <c r="J10" s="429">
        <f>F10-I10</f>
        <v>691500</v>
      </c>
      <c r="K10" s="426"/>
    </row>
    <row r="11" spans="1:11" x14ac:dyDescent="0.25">
      <c r="A11" s="426"/>
      <c r="B11" s="426"/>
      <c r="C11" s="427" t="s">
        <v>292</v>
      </c>
      <c r="D11" s="426"/>
      <c r="E11" s="428" t="s">
        <v>293</v>
      </c>
      <c r="F11" s="429">
        <v>950000</v>
      </c>
      <c r="G11" s="429">
        <v>1169000</v>
      </c>
      <c r="H11" s="429">
        <f>[2]Nov!I14</f>
        <v>0</v>
      </c>
      <c r="I11" s="429">
        <f>G11+H11</f>
        <v>1169000</v>
      </c>
      <c r="J11" s="429">
        <f>F11-I11</f>
        <v>-219000</v>
      </c>
      <c r="K11" s="426"/>
    </row>
    <row r="12" spans="1:11" x14ac:dyDescent="0.25">
      <c r="A12" s="426"/>
      <c r="B12" s="426"/>
      <c r="C12" s="427"/>
      <c r="D12" s="426"/>
      <c r="E12" s="428"/>
      <c r="F12" s="429"/>
      <c r="G12" s="429"/>
      <c r="H12" s="429"/>
      <c r="I12" s="429"/>
      <c r="J12" s="429"/>
      <c r="K12" s="426"/>
    </row>
    <row r="13" spans="1:11" x14ac:dyDescent="0.25">
      <c r="A13" s="422"/>
      <c r="B13" s="422"/>
      <c r="C13" s="423" t="s">
        <v>294</v>
      </c>
      <c r="D13" s="422"/>
      <c r="E13" s="424" t="s">
        <v>295</v>
      </c>
      <c r="F13" s="425">
        <f>SUM(F14:F16)</f>
        <v>67804900</v>
      </c>
      <c r="G13" s="425">
        <f>SUM(G14:G16)</f>
        <v>23050000</v>
      </c>
      <c r="H13" s="425">
        <f>SUM(H14:H16)</f>
        <v>44754900</v>
      </c>
      <c r="I13" s="425">
        <f>SUM(I14:I16)</f>
        <v>67804900</v>
      </c>
      <c r="J13" s="425">
        <f>SUM(J14:J16)</f>
        <v>0</v>
      </c>
      <c r="K13" s="422"/>
    </row>
    <row r="14" spans="1:11" x14ac:dyDescent="0.25">
      <c r="A14" s="426"/>
      <c r="B14" s="426"/>
      <c r="C14" s="427" t="s">
        <v>296</v>
      </c>
      <c r="D14" s="426"/>
      <c r="E14" s="428" t="s">
        <v>297</v>
      </c>
      <c r="F14" s="429">
        <v>46950000</v>
      </c>
      <c r="G14" s="429">
        <v>10050000</v>
      </c>
      <c r="H14" s="429">
        <f>[2]Nov!I17</f>
        <v>36900000</v>
      </c>
      <c r="I14" s="429">
        <f t="shared" ref="I14:I16" si="0">G14+H14</f>
        <v>46950000</v>
      </c>
      <c r="J14" s="429">
        <f t="shared" ref="J14:J16" si="1">F14-I14</f>
        <v>0</v>
      </c>
      <c r="K14" s="426"/>
    </row>
    <row r="15" spans="1:11" x14ac:dyDescent="0.25">
      <c r="A15" s="426"/>
      <c r="B15" s="426"/>
      <c r="C15" s="427" t="s">
        <v>298</v>
      </c>
      <c r="D15" s="426"/>
      <c r="E15" s="428" t="s">
        <v>299</v>
      </c>
      <c r="F15" s="429">
        <v>13000000</v>
      </c>
      <c r="G15" s="429">
        <v>13000000</v>
      </c>
      <c r="H15" s="429">
        <f>[2]Nov!I18</f>
        <v>0</v>
      </c>
      <c r="I15" s="429">
        <f t="shared" si="0"/>
        <v>13000000</v>
      </c>
      <c r="J15" s="429">
        <f t="shared" si="1"/>
        <v>0</v>
      </c>
      <c r="K15" s="426"/>
    </row>
    <row r="16" spans="1:11" x14ac:dyDescent="0.25">
      <c r="A16" s="426"/>
      <c r="B16" s="426"/>
      <c r="C16" s="427" t="s">
        <v>300</v>
      </c>
      <c r="D16" s="426"/>
      <c r="E16" s="428" t="s">
        <v>301</v>
      </c>
      <c r="F16" s="429">
        <v>7854900</v>
      </c>
      <c r="G16" s="429">
        <v>0</v>
      </c>
      <c r="H16" s="429">
        <f>[2]Nov!I19</f>
        <v>7854900</v>
      </c>
      <c r="I16" s="429">
        <f t="shared" si="0"/>
        <v>7854900</v>
      </c>
      <c r="J16" s="429">
        <f t="shared" si="1"/>
        <v>0</v>
      </c>
      <c r="K16" s="426"/>
    </row>
    <row r="17" spans="1:11" x14ac:dyDescent="0.25">
      <c r="A17" s="426"/>
      <c r="B17" s="426"/>
      <c r="C17" s="427"/>
      <c r="D17" s="426"/>
      <c r="E17" s="428"/>
      <c r="F17" s="429"/>
      <c r="G17" s="429"/>
      <c r="H17" s="429"/>
      <c r="I17" s="429"/>
      <c r="J17" s="429"/>
      <c r="K17" s="426"/>
    </row>
    <row r="18" spans="1:11" x14ac:dyDescent="0.25">
      <c r="A18" s="418"/>
      <c r="B18" s="418"/>
      <c r="C18" s="419" t="s">
        <v>302</v>
      </c>
      <c r="D18" s="418"/>
      <c r="E18" s="420" t="s">
        <v>3</v>
      </c>
      <c r="F18" s="421">
        <f>F19+F22+F25+F28</f>
        <v>1965168300</v>
      </c>
      <c r="G18" s="421">
        <f>G19+G22+G25+G28</f>
        <v>56039525</v>
      </c>
      <c r="H18" s="421">
        <f>H19+H22+H25+H28</f>
        <v>1685137950</v>
      </c>
      <c r="I18" s="421">
        <f>I19+I22+I25+I28</f>
        <v>1741177475</v>
      </c>
      <c r="J18" s="421">
        <f>J19+J22+J25+J28</f>
        <v>223990825</v>
      </c>
      <c r="K18" s="418"/>
    </row>
    <row r="19" spans="1:11" x14ac:dyDescent="0.25">
      <c r="A19" s="422"/>
      <c r="B19" s="422"/>
      <c r="C19" s="423" t="s">
        <v>303</v>
      </c>
      <c r="D19" s="422"/>
      <c r="E19" s="424" t="s">
        <v>4</v>
      </c>
      <c r="F19" s="425">
        <f>F20</f>
        <v>968086000</v>
      </c>
      <c r="G19" s="425">
        <f>G20</f>
        <v>0</v>
      </c>
      <c r="H19" s="425">
        <f>H20</f>
        <v>968086000</v>
      </c>
      <c r="I19" s="425">
        <f>I20</f>
        <v>968086000</v>
      </c>
      <c r="J19" s="425">
        <f>J20</f>
        <v>0</v>
      </c>
      <c r="K19" s="422"/>
    </row>
    <row r="20" spans="1:11" x14ac:dyDescent="0.25">
      <c r="A20" s="426"/>
      <c r="B20" s="426"/>
      <c r="C20" s="427" t="s">
        <v>304</v>
      </c>
      <c r="D20" s="426"/>
      <c r="E20" s="428" t="s">
        <v>4</v>
      </c>
      <c r="F20" s="429">
        <v>968086000</v>
      </c>
      <c r="G20" s="429">
        <v>0</v>
      </c>
      <c r="H20" s="429">
        <f>[2]Nov!I23</f>
        <v>968086000</v>
      </c>
      <c r="I20" s="429">
        <f>G20+H20</f>
        <v>968086000</v>
      </c>
      <c r="J20" s="429">
        <f>F20-I20</f>
        <v>0</v>
      </c>
      <c r="K20" s="426"/>
    </row>
    <row r="21" spans="1:11" x14ac:dyDescent="0.25">
      <c r="A21" s="426"/>
      <c r="B21" s="426"/>
      <c r="C21" s="427"/>
      <c r="D21" s="426"/>
      <c r="E21" s="428"/>
      <c r="F21" s="429"/>
      <c r="G21" s="429"/>
      <c r="H21" s="429"/>
      <c r="I21" s="429"/>
      <c r="J21" s="429"/>
      <c r="K21" s="426"/>
    </row>
    <row r="22" spans="1:11" x14ac:dyDescent="0.25">
      <c r="A22" s="422"/>
      <c r="B22" s="422"/>
      <c r="C22" s="423" t="s">
        <v>305</v>
      </c>
      <c r="D22" s="422"/>
      <c r="E22" s="424" t="s">
        <v>306</v>
      </c>
      <c r="F22" s="425">
        <f>F23</f>
        <v>34382300</v>
      </c>
      <c r="G22" s="425">
        <f>G23</f>
        <v>0</v>
      </c>
      <c r="H22" s="425">
        <f>H23</f>
        <v>48582800</v>
      </c>
      <c r="I22" s="425">
        <f>I23</f>
        <v>48582800</v>
      </c>
      <c r="J22" s="425">
        <f>J23</f>
        <v>-14200500</v>
      </c>
      <c r="K22" s="422"/>
    </row>
    <row r="23" spans="1:11" x14ac:dyDescent="0.25">
      <c r="A23" s="426"/>
      <c r="B23" s="426"/>
      <c r="C23" s="427" t="s">
        <v>307</v>
      </c>
      <c r="D23" s="426"/>
      <c r="E23" s="428" t="s">
        <v>308</v>
      </c>
      <c r="F23" s="429">
        <v>34382300</v>
      </c>
      <c r="G23" s="429">
        <v>0</v>
      </c>
      <c r="H23" s="429">
        <f>[2]Nov!I26</f>
        <v>48582800</v>
      </c>
      <c r="I23" s="429">
        <f>G23+H23</f>
        <v>48582800</v>
      </c>
      <c r="J23" s="429">
        <f>F23-I23</f>
        <v>-14200500</v>
      </c>
      <c r="K23" s="426"/>
    </row>
    <row r="24" spans="1:11" x14ac:dyDescent="0.25">
      <c r="A24" s="426"/>
      <c r="B24" s="426"/>
      <c r="C24" s="427"/>
      <c r="D24" s="426"/>
      <c r="E24" s="428"/>
      <c r="F24" s="429"/>
      <c r="G24" s="429"/>
      <c r="H24" s="429"/>
      <c r="I24" s="429"/>
      <c r="J24" s="429"/>
      <c r="K24" s="426"/>
    </row>
    <row r="25" spans="1:11" x14ac:dyDescent="0.25">
      <c r="A25" s="422"/>
      <c r="B25" s="422"/>
      <c r="C25" s="423" t="s">
        <v>309</v>
      </c>
      <c r="D25" s="422"/>
      <c r="E25" s="424" t="s">
        <v>6</v>
      </c>
      <c r="F25" s="425">
        <f>F26</f>
        <v>727200000</v>
      </c>
      <c r="G25" s="425">
        <f>G26</f>
        <v>56039525</v>
      </c>
      <c r="H25" s="425">
        <f>H26</f>
        <v>668469150</v>
      </c>
      <c r="I25" s="425">
        <f>I26</f>
        <v>724508675</v>
      </c>
      <c r="J25" s="425">
        <f>J26</f>
        <v>2691325</v>
      </c>
      <c r="K25" s="422"/>
    </row>
    <row r="26" spans="1:11" x14ac:dyDescent="0.25">
      <c r="A26" s="426"/>
      <c r="B26" s="426"/>
      <c r="C26" s="427" t="s">
        <v>310</v>
      </c>
      <c r="D26" s="426"/>
      <c r="E26" s="428" t="s">
        <v>6</v>
      </c>
      <c r="F26" s="429">
        <v>727200000</v>
      </c>
      <c r="G26" s="429">
        <v>56039525</v>
      </c>
      <c r="H26" s="429">
        <f>[2]Nov!I29</f>
        <v>668469150</v>
      </c>
      <c r="I26" s="429">
        <f>G26+H26</f>
        <v>724508675</v>
      </c>
      <c r="J26" s="429">
        <f>F26-I26</f>
        <v>2691325</v>
      </c>
      <c r="K26" s="426"/>
    </row>
    <row r="27" spans="1:11" x14ac:dyDescent="0.25">
      <c r="A27" s="426"/>
      <c r="B27" s="426"/>
      <c r="C27" s="427"/>
      <c r="D27" s="426"/>
      <c r="E27" s="428"/>
      <c r="F27" s="429"/>
      <c r="G27" s="429"/>
      <c r="H27" s="429"/>
      <c r="I27" s="429"/>
      <c r="J27" s="429"/>
      <c r="K27" s="426"/>
    </row>
    <row r="28" spans="1:11" x14ac:dyDescent="0.25">
      <c r="A28" s="422"/>
      <c r="B28" s="422"/>
      <c r="C28" s="423" t="s">
        <v>311</v>
      </c>
      <c r="D28" s="422"/>
      <c r="E28" s="424" t="s">
        <v>312</v>
      </c>
      <c r="F28" s="425">
        <f>F29</f>
        <v>235500000</v>
      </c>
      <c r="G28" s="425">
        <f>G29</f>
        <v>0</v>
      </c>
      <c r="H28" s="425">
        <f>H29</f>
        <v>0</v>
      </c>
      <c r="I28" s="425">
        <f>I29</f>
        <v>0</v>
      </c>
      <c r="J28" s="425">
        <f>J29</f>
        <v>235500000</v>
      </c>
      <c r="K28" s="422"/>
    </row>
    <row r="29" spans="1:11" x14ac:dyDescent="0.25">
      <c r="A29" s="426"/>
      <c r="B29" s="426"/>
      <c r="C29" s="427" t="s">
        <v>313</v>
      </c>
      <c r="D29" s="426"/>
      <c r="E29" s="428" t="s">
        <v>314</v>
      </c>
      <c r="F29" s="429">
        <v>235500000</v>
      </c>
      <c r="G29" s="429">
        <v>0</v>
      </c>
      <c r="H29" s="429">
        <f>[2]Nov!I32</f>
        <v>0</v>
      </c>
      <c r="I29" s="429">
        <f>G29+H29</f>
        <v>0</v>
      </c>
      <c r="J29" s="429">
        <f>F29-I29</f>
        <v>235500000</v>
      </c>
      <c r="K29" s="426"/>
    </row>
    <row r="30" spans="1:11" x14ac:dyDescent="0.25">
      <c r="A30" s="426"/>
      <c r="B30" s="426"/>
      <c r="C30" s="427"/>
      <c r="D30" s="426"/>
      <c r="E30" s="428"/>
      <c r="F30" s="429"/>
      <c r="G30" s="429"/>
      <c r="H30" s="429"/>
      <c r="I30" s="429"/>
      <c r="J30" s="429"/>
      <c r="K30" s="426"/>
    </row>
    <row r="31" spans="1:11" x14ac:dyDescent="0.25">
      <c r="A31" s="418"/>
      <c r="B31" s="418"/>
      <c r="C31" s="419" t="s">
        <v>315</v>
      </c>
      <c r="D31" s="418"/>
      <c r="E31" s="420" t="s">
        <v>316</v>
      </c>
      <c r="F31" s="421">
        <f>F32+F35+F38</f>
        <v>30015000</v>
      </c>
      <c r="G31" s="421">
        <f>G32+G35+G38</f>
        <v>28182491</v>
      </c>
      <c r="H31" s="421">
        <f>H32+H35+H38</f>
        <v>1664093</v>
      </c>
      <c r="I31" s="421">
        <f>I32+I35+I38</f>
        <v>29846584</v>
      </c>
      <c r="J31" s="421">
        <f>J32+J35+J38</f>
        <v>168416</v>
      </c>
      <c r="K31" s="418"/>
    </row>
    <row r="32" spans="1:11" x14ac:dyDescent="0.25">
      <c r="A32" s="422"/>
      <c r="B32" s="422"/>
      <c r="C32" s="423" t="s">
        <v>317</v>
      </c>
      <c r="D32" s="422"/>
      <c r="E32" s="424" t="s">
        <v>318</v>
      </c>
      <c r="F32" s="425">
        <f>F33</f>
        <v>13015000</v>
      </c>
      <c r="G32" s="425">
        <f>G33</f>
        <v>13015000</v>
      </c>
      <c r="H32" s="425">
        <f>H33</f>
        <v>0</v>
      </c>
      <c r="I32" s="425">
        <f>I33</f>
        <v>13015000</v>
      </c>
      <c r="J32" s="425">
        <f>J33</f>
        <v>0</v>
      </c>
      <c r="K32" s="422"/>
    </row>
    <row r="33" spans="1:11" x14ac:dyDescent="0.25">
      <c r="A33" s="426"/>
      <c r="B33" s="426"/>
      <c r="C33" s="427" t="s">
        <v>319</v>
      </c>
      <c r="D33" s="426"/>
      <c r="E33" s="428" t="s">
        <v>318</v>
      </c>
      <c r="F33" s="429">
        <v>13015000</v>
      </c>
      <c r="G33" s="429">
        <v>13015000</v>
      </c>
      <c r="H33" s="429">
        <f>[2]Nov!I36</f>
        <v>0</v>
      </c>
      <c r="I33" s="429">
        <f>G33+H33</f>
        <v>13015000</v>
      </c>
      <c r="J33" s="429">
        <f>F33-I33</f>
        <v>0</v>
      </c>
      <c r="K33" s="426"/>
    </row>
    <row r="34" spans="1:11" x14ac:dyDescent="0.25">
      <c r="A34" s="426"/>
      <c r="B34" s="426"/>
      <c r="C34" s="427"/>
      <c r="D34" s="426"/>
      <c r="E34" s="428"/>
      <c r="F34" s="429"/>
      <c r="G34" s="429"/>
      <c r="H34" s="429"/>
      <c r="I34" s="429"/>
      <c r="J34" s="429"/>
      <c r="K34" s="426"/>
    </row>
    <row r="35" spans="1:11" x14ac:dyDescent="0.25">
      <c r="A35" s="422"/>
      <c r="B35" s="422"/>
      <c r="C35" s="423" t="s">
        <v>320</v>
      </c>
      <c r="D35" s="422"/>
      <c r="E35" s="424" t="s">
        <v>141</v>
      </c>
      <c r="F35" s="425">
        <f>F36</f>
        <v>3000000</v>
      </c>
      <c r="G35" s="425">
        <f>G36</f>
        <v>77150</v>
      </c>
      <c r="H35" s="425">
        <f>H36</f>
        <v>1664093</v>
      </c>
      <c r="I35" s="425">
        <f>I36</f>
        <v>1741243</v>
      </c>
      <c r="J35" s="425">
        <f>J36</f>
        <v>1258757</v>
      </c>
      <c r="K35" s="422"/>
    </row>
    <row r="36" spans="1:11" x14ac:dyDescent="0.25">
      <c r="A36" s="426"/>
      <c r="B36" s="426"/>
      <c r="C36" s="427" t="s">
        <v>321</v>
      </c>
      <c r="D36" s="426"/>
      <c r="E36" s="428" t="s">
        <v>141</v>
      </c>
      <c r="F36" s="429">
        <v>3000000</v>
      </c>
      <c r="G36" s="429">
        <f>104563-6500-20913</f>
        <v>77150</v>
      </c>
      <c r="H36" s="429">
        <f>[2]Nov!I39</f>
        <v>1664093</v>
      </c>
      <c r="I36" s="429">
        <f>G36+H36</f>
        <v>1741243</v>
      </c>
      <c r="J36" s="429">
        <f>F36-I36</f>
        <v>1258757</v>
      </c>
      <c r="K36" s="426"/>
    </row>
    <row r="37" spans="1:11" x14ac:dyDescent="0.25">
      <c r="A37" s="426"/>
      <c r="B37" s="426"/>
      <c r="C37" s="427"/>
      <c r="D37" s="426"/>
      <c r="E37" s="428"/>
      <c r="F37" s="429"/>
      <c r="G37" s="429"/>
      <c r="H37" s="429"/>
      <c r="I37" s="429"/>
      <c r="J37" s="429"/>
      <c r="K37" s="426"/>
    </row>
    <row r="38" spans="1:11" x14ac:dyDescent="0.25">
      <c r="A38" s="422"/>
      <c r="B38" s="422"/>
      <c r="C38" s="423" t="s">
        <v>322</v>
      </c>
      <c r="D38" s="422"/>
      <c r="E38" s="424" t="s">
        <v>323</v>
      </c>
      <c r="F38" s="425">
        <f>F39</f>
        <v>14000000</v>
      </c>
      <c r="G38" s="425">
        <f>G39</f>
        <v>15090341</v>
      </c>
      <c r="H38" s="425">
        <f>H39</f>
        <v>0</v>
      </c>
      <c r="I38" s="425">
        <f>I39</f>
        <v>15090341</v>
      </c>
      <c r="J38" s="425">
        <f>J39</f>
        <v>-1090341</v>
      </c>
      <c r="K38" s="422"/>
    </row>
    <row r="39" spans="1:11" x14ac:dyDescent="0.25">
      <c r="A39" s="426"/>
      <c r="B39" s="426"/>
      <c r="C39" s="427" t="s">
        <v>324</v>
      </c>
      <c r="D39" s="426"/>
      <c r="E39" s="428" t="s">
        <v>325</v>
      </c>
      <c r="F39" s="429">
        <v>14000000</v>
      </c>
      <c r="G39" s="429">
        <v>15090341</v>
      </c>
      <c r="H39" s="429">
        <f>[2]Nov!I42</f>
        <v>0</v>
      </c>
      <c r="I39" s="429">
        <f>G39+H39</f>
        <v>15090341</v>
      </c>
      <c r="J39" s="429">
        <f>F39-I39</f>
        <v>-1090341</v>
      </c>
      <c r="K39" s="426"/>
    </row>
    <row r="40" spans="1:11" x14ac:dyDescent="0.25">
      <c r="A40" s="430"/>
      <c r="B40" s="430"/>
      <c r="C40" s="431"/>
      <c r="D40" s="430"/>
      <c r="E40" s="432" t="s">
        <v>10</v>
      </c>
      <c r="F40" s="433">
        <f>F8+F18+F31</f>
        <v>2065488200</v>
      </c>
      <c r="G40" s="433">
        <f>G8+G18+G31</f>
        <v>109299516</v>
      </c>
      <c r="H40" s="433">
        <f>H8+H18+H31</f>
        <v>1731556943</v>
      </c>
      <c r="I40" s="433">
        <f>I8+I18+I31</f>
        <v>1840856459</v>
      </c>
      <c r="J40" s="433">
        <f>J8+J18+J31</f>
        <v>224631741</v>
      </c>
      <c r="K40" s="430"/>
    </row>
    <row r="41" spans="1:11" x14ac:dyDescent="0.25">
      <c r="A41" s="434"/>
      <c r="B41" s="434"/>
      <c r="C41" s="435">
        <v>5</v>
      </c>
      <c r="D41" s="416" t="s">
        <v>14</v>
      </c>
      <c r="E41" s="434"/>
      <c r="F41" s="436"/>
      <c r="G41" s="436"/>
      <c r="H41" s="436"/>
      <c r="I41" s="436"/>
      <c r="J41" s="436"/>
      <c r="K41" s="434"/>
    </row>
    <row r="42" spans="1:11" x14ac:dyDescent="0.25">
      <c r="A42" s="437"/>
      <c r="B42" s="419">
        <v>1</v>
      </c>
      <c r="C42" s="438"/>
      <c r="D42" s="420" t="s">
        <v>327</v>
      </c>
      <c r="E42" s="418"/>
      <c r="F42" s="421">
        <f>F43+F105+F121+F146+F218</f>
        <v>870258856</v>
      </c>
      <c r="G42" s="421">
        <f>G43+G105+G121+G146+G218</f>
        <v>113353621</v>
      </c>
      <c r="H42" s="421">
        <f>H43+H105+H121+H146+H218</f>
        <v>743058282</v>
      </c>
      <c r="I42" s="421">
        <f>I43+I105+I121+I146+I218</f>
        <v>856411903</v>
      </c>
      <c r="J42" s="421">
        <f>J43+J105+J121+J146+J218</f>
        <v>13846953</v>
      </c>
      <c r="K42" s="418"/>
    </row>
    <row r="43" spans="1:11" x14ac:dyDescent="0.25">
      <c r="A43" s="439"/>
      <c r="B43" s="419" t="s">
        <v>328</v>
      </c>
      <c r="C43" s="439"/>
      <c r="D43" s="540" t="s">
        <v>329</v>
      </c>
      <c r="E43" s="540"/>
      <c r="F43" s="421">
        <f>F44+F50+F56+F64+F82+F88+F98</f>
        <v>701757940</v>
      </c>
      <c r="G43" s="421">
        <f>G44+G50+G56+G64+G82+G88+G98</f>
        <v>58386321</v>
      </c>
      <c r="H43" s="421">
        <f>H44+H50+H56+H64+H82+H88+H98</f>
        <v>635188458</v>
      </c>
      <c r="I43" s="421">
        <f>I44+I50+I56+I64+I82+I88+I98</f>
        <v>693574779</v>
      </c>
      <c r="J43" s="421">
        <f>J44+J50+J56+J64+J82+J88+J98</f>
        <v>8183161</v>
      </c>
      <c r="K43" s="426"/>
    </row>
    <row r="44" spans="1:11" x14ac:dyDescent="0.25">
      <c r="A44" s="439"/>
      <c r="B44" s="419" t="s">
        <v>330</v>
      </c>
      <c r="C44" s="439"/>
      <c r="D44" s="426"/>
      <c r="E44" s="420" t="s">
        <v>331</v>
      </c>
      <c r="F44" s="421">
        <f t="shared" ref="F44:J45" si="2">F45</f>
        <v>39000000</v>
      </c>
      <c r="G44" s="421">
        <f t="shared" si="2"/>
        <v>2970000</v>
      </c>
      <c r="H44" s="421">
        <f t="shared" si="2"/>
        <v>35820000</v>
      </c>
      <c r="I44" s="421">
        <f t="shared" si="2"/>
        <v>38790000</v>
      </c>
      <c r="J44" s="421">
        <f t="shared" si="2"/>
        <v>210000</v>
      </c>
      <c r="K44" s="426"/>
    </row>
    <row r="45" spans="1:11" x14ac:dyDescent="0.25">
      <c r="A45" s="438"/>
      <c r="B45" s="419" t="s">
        <v>330</v>
      </c>
      <c r="C45" s="419" t="s">
        <v>332</v>
      </c>
      <c r="D45" s="418"/>
      <c r="E45" s="420" t="s">
        <v>66</v>
      </c>
      <c r="F45" s="421">
        <f t="shared" si="2"/>
        <v>39000000</v>
      </c>
      <c r="G45" s="421">
        <f t="shared" si="2"/>
        <v>2970000</v>
      </c>
      <c r="H45" s="421">
        <f t="shared" si="2"/>
        <v>35820000</v>
      </c>
      <c r="I45" s="421">
        <f t="shared" si="2"/>
        <v>38790000</v>
      </c>
      <c r="J45" s="421">
        <f t="shared" si="2"/>
        <v>210000</v>
      </c>
      <c r="K45" s="418"/>
    </row>
    <row r="46" spans="1:11" x14ac:dyDescent="0.25">
      <c r="A46" s="440"/>
      <c r="B46" s="423" t="s">
        <v>330</v>
      </c>
      <c r="C46" s="423" t="s">
        <v>333</v>
      </c>
      <c r="D46" s="422"/>
      <c r="E46" s="424" t="s">
        <v>144</v>
      </c>
      <c r="F46" s="425">
        <f>SUM(F47:F48)</f>
        <v>39000000</v>
      </c>
      <c r="G46" s="425">
        <f>SUM(G47:G48)</f>
        <v>2970000</v>
      </c>
      <c r="H46" s="425">
        <f>SUM(H47:H48)</f>
        <v>35820000</v>
      </c>
      <c r="I46" s="425">
        <f>SUM(I47:I48)</f>
        <v>38790000</v>
      </c>
      <c r="J46" s="425">
        <f>SUM(J47:J48)</f>
        <v>210000</v>
      </c>
      <c r="K46" s="422"/>
    </row>
    <row r="47" spans="1:11" x14ac:dyDescent="0.25">
      <c r="A47" s="439"/>
      <c r="B47" s="427" t="s">
        <v>330</v>
      </c>
      <c r="C47" s="427" t="s">
        <v>334</v>
      </c>
      <c r="D47" s="426"/>
      <c r="E47" s="428" t="s">
        <v>335</v>
      </c>
      <c r="F47" s="429">
        <v>36000000</v>
      </c>
      <c r="G47" s="429">
        <v>2970000</v>
      </c>
      <c r="H47" s="429">
        <f>[2]Nov!I53</f>
        <v>32820000</v>
      </c>
      <c r="I47" s="429">
        <f>G47+H47</f>
        <v>35790000</v>
      </c>
      <c r="J47" s="429">
        <f>F47-I47</f>
        <v>210000</v>
      </c>
      <c r="K47" s="426"/>
    </row>
    <row r="48" spans="1:11" x14ac:dyDescent="0.25">
      <c r="A48" s="439"/>
      <c r="B48" s="427" t="s">
        <v>330</v>
      </c>
      <c r="C48" s="427" t="s">
        <v>336</v>
      </c>
      <c r="D48" s="426"/>
      <c r="E48" s="428" t="s">
        <v>337</v>
      </c>
      <c r="F48" s="429">
        <v>3000000</v>
      </c>
      <c r="G48" s="429">
        <v>0</v>
      </c>
      <c r="H48" s="429">
        <f>[2]Nov!I54</f>
        <v>3000000</v>
      </c>
      <c r="I48" s="429">
        <f>G48+H48</f>
        <v>3000000</v>
      </c>
      <c r="J48" s="429">
        <f>F48-I48</f>
        <v>0</v>
      </c>
      <c r="K48" s="426"/>
    </row>
    <row r="49" spans="1:11" x14ac:dyDescent="0.25">
      <c r="A49" s="439"/>
      <c r="B49" s="427"/>
      <c r="C49" s="427"/>
      <c r="D49" s="426"/>
      <c r="E49" s="428"/>
      <c r="F49" s="429"/>
      <c r="G49" s="429"/>
      <c r="H49" s="429"/>
      <c r="I49" s="429"/>
      <c r="J49" s="429"/>
      <c r="K49" s="426"/>
    </row>
    <row r="50" spans="1:11" x14ac:dyDescent="0.25">
      <c r="A50" s="439"/>
      <c r="B50" s="419" t="s">
        <v>338</v>
      </c>
      <c r="C50" s="439"/>
      <c r="D50" s="426"/>
      <c r="E50" s="420" t="s">
        <v>339</v>
      </c>
      <c r="F50" s="421">
        <f t="shared" ref="F50:J51" si="3">F51</f>
        <v>523562500</v>
      </c>
      <c r="G50" s="421">
        <f t="shared" si="3"/>
        <v>38503025</v>
      </c>
      <c r="H50" s="421">
        <f t="shared" si="3"/>
        <v>482578150</v>
      </c>
      <c r="I50" s="421">
        <f t="shared" si="3"/>
        <v>521081175</v>
      </c>
      <c r="J50" s="421">
        <f t="shared" si="3"/>
        <v>2481325</v>
      </c>
      <c r="K50" s="426"/>
    </row>
    <row r="51" spans="1:11" x14ac:dyDescent="0.25">
      <c r="A51" s="438"/>
      <c r="B51" s="419" t="s">
        <v>338</v>
      </c>
      <c r="C51" s="419" t="s">
        <v>332</v>
      </c>
      <c r="D51" s="418"/>
      <c r="E51" s="420" t="s">
        <v>66</v>
      </c>
      <c r="F51" s="421">
        <f t="shared" si="3"/>
        <v>523562500</v>
      </c>
      <c r="G51" s="421">
        <f t="shared" si="3"/>
        <v>38503025</v>
      </c>
      <c r="H51" s="421">
        <f t="shared" si="3"/>
        <v>482578150</v>
      </c>
      <c r="I51" s="421">
        <f t="shared" si="3"/>
        <v>521081175</v>
      </c>
      <c r="J51" s="421">
        <f t="shared" si="3"/>
        <v>2481325</v>
      </c>
      <c r="K51" s="418"/>
    </row>
    <row r="52" spans="1:11" x14ac:dyDescent="0.25">
      <c r="A52" s="440"/>
      <c r="B52" s="423" t="s">
        <v>338</v>
      </c>
      <c r="C52" s="423" t="s">
        <v>340</v>
      </c>
      <c r="D52" s="422"/>
      <c r="E52" s="424" t="s">
        <v>143</v>
      </c>
      <c r="F52" s="425">
        <f>SUM(F53:F54)</f>
        <v>523562500</v>
      </c>
      <c r="G52" s="425">
        <f>SUM(G53:G54)</f>
        <v>38503025</v>
      </c>
      <c r="H52" s="425">
        <f>SUM(H53:H54)</f>
        <v>482578150</v>
      </c>
      <c r="I52" s="425">
        <f>SUM(I53:I54)</f>
        <v>521081175</v>
      </c>
      <c r="J52" s="425">
        <f>SUM(J53:J54)</f>
        <v>2481325</v>
      </c>
      <c r="K52" s="422"/>
    </row>
    <row r="53" spans="1:11" x14ac:dyDescent="0.25">
      <c r="A53" s="439"/>
      <c r="B53" s="427" t="s">
        <v>338</v>
      </c>
      <c r="C53" s="427" t="s">
        <v>341</v>
      </c>
      <c r="D53" s="426"/>
      <c r="E53" s="428" t="s">
        <v>342</v>
      </c>
      <c r="F53" s="429">
        <v>483000000</v>
      </c>
      <c r="G53" s="429">
        <v>38503025</v>
      </c>
      <c r="H53" s="429">
        <f>[2]Nov!I59</f>
        <v>442015650</v>
      </c>
      <c r="I53" s="429">
        <f t="shared" ref="I53:I54" si="4">G53+H53</f>
        <v>480518675</v>
      </c>
      <c r="J53" s="429">
        <f t="shared" ref="J53:J54" si="5">F53-I53</f>
        <v>2481325</v>
      </c>
      <c r="K53" s="426"/>
    </row>
    <row r="54" spans="1:11" x14ac:dyDescent="0.25">
      <c r="A54" s="439"/>
      <c r="B54" s="427" t="s">
        <v>338</v>
      </c>
      <c r="C54" s="427" t="s">
        <v>343</v>
      </c>
      <c r="D54" s="426"/>
      <c r="E54" s="428" t="s">
        <v>344</v>
      </c>
      <c r="F54" s="429">
        <v>40562500</v>
      </c>
      <c r="G54" s="429">
        <v>0</v>
      </c>
      <c r="H54" s="429">
        <f>[2]Nov!I60</f>
        <v>40562500</v>
      </c>
      <c r="I54" s="429">
        <f t="shared" si="4"/>
        <v>40562500</v>
      </c>
      <c r="J54" s="429">
        <f t="shared" si="5"/>
        <v>0</v>
      </c>
      <c r="K54" s="426"/>
    </row>
    <row r="55" spans="1:11" x14ac:dyDescent="0.25">
      <c r="A55" s="439"/>
      <c r="B55" s="427"/>
      <c r="C55" s="427"/>
      <c r="D55" s="426"/>
      <c r="E55" s="428"/>
      <c r="F55" s="429"/>
      <c r="G55" s="429"/>
      <c r="H55" s="429"/>
      <c r="I55" s="429"/>
      <c r="J55" s="429"/>
      <c r="K55" s="426"/>
    </row>
    <row r="56" spans="1:11" x14ac:dyDescent="0.25">
      <c r="A56" s="439"/>
      <c r="B56" s="419" t="s">
        <v>345</v>
      </c>
      <c r="C56" s="439"/>
      <c r="D56" s="426"/>
      <c r="E56" s="420" t="s">
        <v>346</v>
      </c>
      <c r="F56" s="421">
        <f t="shared" ref="F56:J57" si="6">F57</f>
        <v>42380300</v>
      </c>
      <c r="G56" s="421">
        <f t="shared" si="6"/>
        <v>2490436</v>
      </c>
      <c r="H56" s="421">
        <f t="shared" si="6"/>
        <v>37988508</v>
      </c>
      <c r="I56" s="421">
        <f t="shared" si="6"/>
        <v>40478944</v>
      </c>
      <c r="J56" s="421">
        <f t="shared" si="6"/>
        <v>1901356</v>
      </c>
      <c r="K56" s="426"/>
    </row>
    <row r="57" spans="1:11" x14ac:dyDescent="0.25">
      <c r="A57" s="438"/>
      <c r="B57" s="419" t="s">
        <v>345</v>
      </c>
      <c r="C57" s="419" t="s">
        <v>332</v>
      </c>
      <c r="D57" s="418"/>
      <c r="E57" s="420" t="s">
        <v>66</v>
      </c>
      <c r="F57" s="421">
        <f t="shared" si="6"/>
        <v>42380300</v>
      </c>
      <c r="G57" s="421">
        <f t="shared" si="6"/>
        <v>2490436</v>
      </c>
      <c r="H57" s="421">
        <f t="shared" si="6"/>
        <v>37988508</v>
      </c>
      <c r="I57" s="421">
        <f t="shared" si="6"/>
        <v>40478944</v>
      </c>
      <c r="J57" s="421">
        <f t="shared" si="6"/>
        <v>1901356</v>
      </c>
      <c r="K57" s="418"/>
    </row>
    <row r="58" spans="1:11" x14ac:dyDescent="0.25">
      <c r="A58" s="440"/>
      <c r="B58" s="423" t="s">
        <v>345</v>
      </c>
      <c r="C58" s="423" t="s">
        <v>347</v>
      </c>
      <c r="D58" s="422"/>
      <c r="E58" s="424" t="s">
        <v>348</v>
      </c>
      <c r="F58" s="425">
        <f>SUM(F59:F62)</f>
        <v>42380300</v>
      </c>
      <c r="G58" s="425">
        <f>SUM(G59:G62)</f>
        <v>2490436</v>
      </c>
      <c r="H58" s="425">
        <f>SUM(H59:H62)</f>
        <v>37988508</v>
      </c>
      <c r="I58" s="425">
        <f>SUM(I59:I62)</f>
        <v>40478944</v>
      </c>
      <c r="J58" s="425">
        <f>SUM(J59:J62)</f>
        <v>1901356</v>
      </c>
      <c r="K58" s="422"/>
    </row>
    <row r="59" spans="1:11" x14ac:dyDescent="0.25">
      <c r="A59" s="439"/>
      <c r="B59" s="427" t="s">
        <v>345</v>
      </c>
      <c r="C59" s="427" t="s">
        <v>349</v>
      </c>
      <c r="D59" s="426"/>
      <c r="E59" s="428" t="s">
        <v>350</v>
      </c>
      <c r="F59" s="429">
        <v>600000</v>
      </c>
      <c r="G59" s="429">
        <v>0</v>
      </c>
      <c r="H59" s="429">
        <f>[2]Nov!I65</f>
        <v>560900</v>
      </c>
      <c r="I59" s="429">
        <f t="shared" ref="I59:I62" si="7">G59+H59</f>
        <v>560900</v>
      </c>
      <c r="J59" s="429">
        <f t="shared" ref="J59:J62" si="8">F59-I59</f>
        <v>39100</v>
      </c>
      <c r="K59" s="426"/>
    </row>
    <row r="60" spans="1:11" x14ac:dyDescent="0.25">
      <c r="A60" s="439"/>
      <c r="B60" s="427" t="s">
        <v>345</v>
      </c>
      <c r="C60" s="427" t="s">
        <v>351</v>
      </c>
      <c r="D60" s="426"/>
      <c r="E60" s="428" t="s">
        <v>352</v>
      </c>
      <c r="F60" s="429">
        <v>9394700</v>
      </c>
      <c r="G60" s="429">
        <v>136400</v>
      </c>
      <c r="H60" s="429">
        <f>[2]Nov!I66</f>
        <v>9258300</v>
      </c>
      <c r="I60" s="429">
        <f t="shared" si="7"/>
        <v>9394700</v>
      </c>
      <c r="J60" s="429">
        <f t="shared" si="8"/>
        <v>0</v>
      </c>
      <c r="K60" s="426"/>
    </row>
    <row r="61" spans="1:11" x14ac:dyDescent="0.25">
      <c r="A61" s="439"/>
      <c r="B61" s="427" t="s">
        <v>345</v>
      </c>
      <c r="C61" s="427" t="s">
        <v>353</v>
      </c>
      <c r="D61" s="426"/>
      <c r="E61" s="428" t="s">
        <v>354</v>
      </c>
      <c r="F61" s="429">
        <v>2246400</v>
      </c>
      <c r="G61" s="429">
        <v>171162</v>
      </c>
      <c r="H61" s="429">
        <f>[2]Nov!I67</f>
        <v>1995048</v>
      </c>
      <c r="I61" s="429">
        <f t="shared" si="7"/>
        <v>2166210</v>
      </c>
      <c r="J61" s="429">
        <f t="shared" si="8"/>
        <v>80190</v>
      </c>
      <c r="K61" s="426"/>
    </row>
    <row r="62" spans="1:11" x14ac:dyDescent="0.25">
      <c r="A62" s="439"/>
      <c r="B62" s="427" t="s">
        <v>345</v>
      </c>
      <c r="C62" s="427" t="s">
        <v>355</v>
      </c>
      <c r="D62" s="426"/>
      <c r="E62" s="428" t="s">
        <v>356</v>
      </c>
      <c r="F62" s="429">
        <v>30139200</v>
      </c>
      <c r="G62" s="429">
        <v>2182874</v>
      </c>
      <c r="H62" s="429">
        <f>[2]Nov!I68</f>
        <v>26174260</v>
      </c>
      <c r="I62" s="429">
        <f t="shared" si="7"/>
        <v>28357134</v>
      </c>
      <c r="J62" s="429">
        <f t="shared" si="8"/>
        <v>1782066</v>
      </c>
      <c r="K62" s="426"/>
    </row>
    <row r="63" spans="1:11" x14ac:dyDescent="0.25">
      <c r="A63" s="439"/>
      <c r="B63" s="427"/>
      <c r="C63" s="427"/>
      <c r="D63" s="426"/>
      <c r="E63" s="428"/>
      <c r="F63" s="429"/>
      <c r="G63" s="429"/>
      <c r="H63" s="429"/>
      <c r="I63" s="429"/>
      <c r="J63" s="429"/>
      <c r="K63" s="426"/>
    </row>
    <row r="64" spans="1:11" ht="38.25" x14ac:dyDescent="0.25">
      <c r="A64" s="439"/>
      <c r="B64" s="441" t="s">
        <v>357</v>
      </c>
      <c r="C64" s="439"/>
      <c r="D64" s="426"/>
      <c r="E64" s="442" t="s">
        <v>358</v>
      </c>
      <c r="F64" s="443">
        <f>F65</f>
        <v>38405140</v>
      </c>
      <c r="G64" s="443">
        <f>G65</f>
        <v>7272860</v>
      </c>
      <c r="H64" s="443">
        <f>H65</f>
        <v>28065300</v>
      </c>
      <c r="I64" s="443">
        <f>I65</f>
        <v>35338160</v>
      </c>
      <c r="J64" s="443">
        <f>J65</f>
        <v>3066980</v>
      </c>
      <c r="K64" s="426"/>
    </row>
    <row r="65" spans="1:11" x14ac:dyDescent="0.25">
      <c r="A65" s="438"/>
      <c r="B65" s="419" t="s">
        <v>357</v>
      </c>
      <c r="C65" s="419" t="s">
        <v>359</v>
      </c>
      <c r="D65" s="418"/>
      <c r="E65" s="420" t="s">
        <v>67</v>
      </c>
      <c r="F65" s="421">
        <f>F66+F71+F73+F76</f>
        <v>38405140</v>
      </c>
      <c r="G65" s="421">
        <f>G66+G71+G73+G76</f>
        <v>7272860</v>
      </c>
      <c r="H65" s="421">
        <f>H66+H71+H73+H76</f>
        <v>28065300</v>
      </c>
      <c r="I65" s="421">
        <f>I66+I71+I73+I76</f>
        <v>35338160</v>
      </c>
      <c r="J65" s="421">
        <f>J66+J71+J73+J76</f>
        <v>3066980</v>
      </c>
      <c r="K65" s="418"/>
    </row>
    <row r="66" spans="1:11" x14ac:dyDescent="0.25">
      <c r="A66" s="440"/>
      <c r="B66" s="423" t="s">
        <v>357</v>
      </c>
      <c r="C66" s="423" t="s">
        <v>360</v>
      </c>
      <c r="D66" s="422"/>
      <c r="E66" s="424" t="s">
        <v>361</v>
      </c>
      <c r="F66" s="425">
        <f>SUM(F67:F70)</f>
        <v>19965140</v>
      </c>
      <c r="G66" s="425">
        <f>SUM(G67:G70)</f>
        <v>3832500</v>
      </c>
      <c r="H66" s="425">
        <f>SUM(H67:H70)</f>
        <v>15166200</v>
      </c>
      <c r="I66" s="425">
        <f>SUM(I67:I70)</f>
        <v>18998700</v>
      </c>
      <c r="J66" s="425">
        <f>SUM(J67:J70)</f>
        <v>966440</v>
      </c>
      <c r="K66" s="422"/>
    </row>
    <row r="67" spans="1:11" x14ac:dyDescent="0.25">
      <c r="A67" s="439"/>
      <c r="B67" s="427" t="s">
        <v>357</v>
      </c>
      <c r="C67" s="427" t="s">
        <v>362</v>
      </c>
      <c r="D67" s="426"/>
      <c r="E67" s="428" t="s">
        <v>363</v>
      </c>
      <c r="F67" s="429">
        <v>8059900</v>
      </c>
      <c r="G67" s="429">
        <v>1059500</v>
      </c>
      <c r="H67" s="429">
        <f>[2]Nov!I73</f>
        <v>7000000</v>
      </c>
      <c r="I67" s="429">
        <f t="shared" ref="I67:I70" si="9">G67+H67</f>
        <v>8059500</v>
      </c>
      <c r="J67" s="429">
        <f t="shared" ref="J67:J70" si="10">F67-I67</f>
        <v>400</v>
      </c>
      <c r="K67" s="426"/>
    </row>
    <row r="68" spans="1:11" x14ac:dyDescent="0.25">
      <c r="A68" s="439"/>
      <c r="B68" s="427" t="s">
        <v>357</v>
      </c>
      <c r="C68" s="427" t="s">
        <v>364</v>
      </c>
      <c r="D68" s="426"/>
      <c r="E68" s="428" t="s">
        <v>365</v>
      </c>
      <c r="F68" s="429">
        <v>885000</v>
      </c>
      <c r="G68" s="429">
        <v>0</v>
      </c>
      <c r="H68" s="429">
        <f>[2]Nov!I74</f>
        <v>885000</v>
      </c>
      <c r="I68" s="429">
        <f t="shared" si="9"/>
        <v>885000</v>
      </c>
      <c r="J68" s="429">
        <f t="shared" si="10"/>
        <v>0</v>
      </c>
      <c r="K68" s="426"/>
    </row>
    <row r="69" spans="1:11" x14ac:dyDescent="0.25">
      <c r="A69" s="439"/>
      <c r="B69" s="427" t="s">
        <v>357</v>
      </c>
      <c r="C69" s="427" t="s">
        <v>366</v>
      </c>
      <c r="D69" s="426"/>
      <c r="E69" s="428" t="s">
        <v>367</v>
      </c>
      <c r="F69" s="429">
        <v>3164240</v>
      </c>
      <c r="G69" s="429">
        <v>1364000</v>
      </c>
      <c r="H69" s="429">
        <f>[2]Nov!I75</f>
        <v>1800000</v>
      </c>
      <c r="I69" s="429">
        <f t="shared" si="9"/>
        <v>3164000</v>
      </c>
      <c r="J69" s="429">
        <f t="shared" si="10"/>
        <v>240</v>
      </c>
      <c r="K69" s="426"/>
    </row>
    <row r="70" spans="1:11" x14ac:dyDescent="0.25">
      <c r="A70" s="439"/>
      <c r="B70" s="427" t="s">
        <v>357</v>
      </c>
      <c r="C70" s="427" t="s">
        <v>368</v>
      </c>
      <c r="D70" s="426"/>
      <c r="E70" s="428" t="s">
        <v>369</v>
      </c>
      <c r="F70" s="429">
        <v>7856000</v>
      </c>
      <c r="G70" s="429">
        <f>847000+121000+121000+320000</f>
        <v>1409000</v>
      </c>
      <c r="H70" s="429">
        <f>[2]Nov!I76</f>
        <v>5481200</v>
      </c>
      <c r="I70" s="429">
        <f t="shared" si="9"/>
        <v>6890200</v>
      </c>
      <c r="J70" s="429">
        <f t="shared" si="10"/>
        <v>965800</v>
      </c>
      <c r="K70" s="426"/>
    </row>
    <row r="71" spans="1:11" x14ac:dyDescent="0.25">
      <c r="A71" s="440"/>
      <c r="B71" s="423" t="s">
        <v>357</v>
      </c>
      <c r="C71" s="423" t="s">
        <v>370</v>
      </c>
      <c r="D71" s="422"/>
      <c r="E71" s="424" t="s">
        <v>81</v>
      </c>
      <c r="F71" s="425">
        <f>SUM(F72)</f>
        <v>12100000</v>
      </c>
      <c r="G71" s="425">
        <f>SUM(G72)</f>
        <v>2200000</v>
      </c>
      <c r="H71" s="425">
        <f>SUM(H72)</f>
        <v>9900000</v>
      </c>
      <c r="I71" s="425">
        <f>SUM(I72)</f>
        <v>12100000</v>
      </c>
      <c r="J71" s="425">
        <f>SUM(J72)</f>
        <v>0</v>
      </c>
      <c r="K71" s="422"/>
    </row>
    <row r="72" spans="1:11" x14ac:dyDescent="0.25">
      <c r="A72" s="439"/>
      <c r="B72" s="427" t="s">
        <v>357</v>
      </c>
      <c r="C72" s="427" t="s">
        <v>371</v>
      </c>
      <c r="D72" s="426"/>
      <c r="E72" s="428" t="s">
        <v>372</v>
      </c>
      <c r="F72" s="429">
        <v>12100000</v>
      </c>
      <c r="G72" s="429">
        <v>2200000</v>
      </c>
      <c r="H72" s="429">
        <f>[2]Nov!I78</f>
        <v>9900000</v>
      </c>
      <c r="I72" s="429">
        <f>G72+H72</f>
        <v>12100000</v>
      </c>
      <c r="J72" s="429">
        <f>F72-I72</f>
        <v>0</v>
      </c>
      <c r="K72" s="426"/>
    </row>
    <row r="73" spans="1:11" x14ac:dyDescent="0.25">
      <c r="A73" s="440"/>
      <c r="B73" s="423" t="s">
        <v>357</v>
      </c>
      <c r="C73" s="423" t="s">
        <v>373</v>
      </c>
      <c r="D73" s="422"/>
      <c r="E73" s="424" t="s">
        <v>145</v>
      </c>
      <c r="F73" s="425">
        <f>SUM(F74:F75)</f>
        <v>3150000</v>
      </c>
      <c r="G73" s="425">
        <f>SUM(G74:G75)</f>
        <v>700000</v>
      </c>
      <c r="H73" s="425">
        <f>SUM(H74:H75)</f>
        <v>2450000</v>
      </c>
      <c r="I73" s="425">
        <f>SUM(I74:I75)</f>
        <v>3150000</v>
      </c>
      <c r="J73" s="425">
        <f>SUM(J74:J75)</f>
        <v>0</v>
      </c>
      <c r="K73" s="422"/>
    </row>
    <row r="74" spans="1:11" x14ac:dyDescent="0.25">
      <c r="A74" s="439"/>
      <c r="B74" s="427" t="s">
        <v>357</v>
      </c>
      <c r="C74" s="427" t="s">
        <v>374</v>
      </c>
      <c r="D74" s="426"/>
      <c r="E74" s="428" t="s">
        <v>375</v>
      </c>
      <c r="F74" s="429">
        <v>2400000</v>
      </c>
      <c r="G74" s="429">
        <v>0</v>
      </c>
      <c r="H74" s="429">
        <f>[2]Nov!I80</f>
        <v>2400000</v>
      </c>
      <c r="I74" s="429">
        <f t="shared" ref="I74:I75" si="11">G74+H74</f>
        <v>2400000</v>
      </c>
      <c r="J74" s="429">
        <f t="shared" ref="J74:J75" si="12">F74-I74</f>
        <v>0</v>
      </c>
      <c r="K74" s="426"/>
    </row>
    <row r="75" spans="1:11" x14ac:dyDescent="0.25">
      <c r="A75" s="439"/>
      <c r="B75" s="427" t="s">
        <v>357</v>
      </c>
      <c r="C75" s="427" t="s">
        <v>376</v>
      </c>
      <c r="D75" s="426"/>
      <c r="E75" s="428" t="s">
        <v>377</v>
      </c>
      <c r="F75" s="429">
        <v>750000</v>
      </c>
      <c r="G75" s="429">
        <v>700000</v>
      </c>
      <c r="H75" s="429">
        <f>[2]Nov!I81</f>
        <v>50000</v>
      </c>
      <c r="I75" s="429">
        <f t="shared" si="11"/>
        <v>750000</v>
      </c>
      <c r="J75" s="429">
        <f t="shared" si="12"/>
        <v>0</v>
      </c>
      <c r="K75" s="426"/>
    </row>
    <row r="76" spans="1:11" x14ac:dyDescent="0.25">
      <c r="A76" s="440"/>
      <c r="B76" s="423" t="s">
        <v>357</v>
      </c>
      <c r="C76" s="423" t="s">
        <v>378</v>
      </c>
      <c r="D76" s="422"/>
      <c r="E76" s="424" t="s">
        <v>78</v>
      </c>
      <c r="F76" s="425">
        <f>SUM(F77:F80)</f>
        <v>3190000</v>
      </c>
      <c r="G76" s="425">
        <f>SUM(G77:G80)</f>
        <v>540360</v>
      </c>
      <c r="H76" s="425">
        <f>SUM(H77:H80)</f>
        <v>549100</v>
      </c>
      <c r="I76" s="425">
        <f>SUM(I77:I80)</f>
        <v>1089460</v>
      </c>
      <c r="J76" s="425">
        <f>SUM(J77:J80)</f>
        <v>2100540</v>
      </c>
      <c r="K76" s="422"/>
    </row>
    <row r="77" spans="1:11" x14ac:dyDescent="0.25">
      <c r="A77" s="439"/>
      <c r="B77" s="427" t="s">
        <v>357</v>
      </c>
      <c r="C77" s="427" t="s">
        <v>379</v>
      </c>
      <c r="D77" s="426"/>
      <c r="E77" s="428" t="s">
        <v>380</v>
      </c>
      <c r="F77" s="429">
        <v>600000</v>
      </c>
      <c r="G77" s="429">
        <v>206860</v>
      </c>
      <c r="H77" s="429">
        <f>[2]Nov!I83</f>
        <v>349100</v>
      </c>
      <c r="I77" s="429">
        <f t="shared" ref="I77:I80" si="13">G77+H77</f>
        <v>555960</v>
      </c>
      <c r="J77" s="429">
        <f t="shared" ref="J77:J80" si="14">F77-I77</f>
        <v>44040</v>
      </c>
      <c r="K77" s="426"/>
    </row>
    <row r="78" spans="1:11" x14ac:dyDescent="0.25">
      <c r="A78" s="439"/>
      <c r="B78" s="427" t="s">
        <v>357</v>
      </c>
      <c r="C78" s="427" t="s">
        <v>381</v>
      </c>
      <c r="D78" s="426"/>
      <c r="E78" s="428" t="s">
        <v>382</v>
      </c>
      <c r="F78" s="429">
        <v>360000</v>
      </c>
      <c r="G78" s="429">
        <v>240000</v>
      </c>
      <c r="H78" s="429">
        <f>[2]Nov!I84</f>
        <v>120000</v>
      </c>
      <c r="I78" s="429">
        <f t="shared" si="13"/>
        <v>360000</v>
      </c>
      <c r="J78" s="429">
        <f t="shared" si="14"/>
        <v>0</v>
      </c>
      <c r="K78" s="426"/>
    </row>
    <row r="79" spans="1:11" x14ac:dyDescent="0.25">
      <c r="A79" s="439"/>
      <c r="B79" s="427" t="s">
        <v>357</v>
      </c>
      <c r="C79" s="427" t="s">
        <v>383</v>
      </c>
      <c r="D79" s="426"/>
      <c r="E79" s="428" t="s">
        <v>384</v>
      </c>
      <c r="F79" s="429">
        <v>1680000</v>
      </c>
      <c r="G79" s="429">
        <v>0</v>
      </c>
      <c r="H79" s="429">
        <f>[2]Nov!I85</f>
        <v>0</v>
      </c>
      <c r="I79" s="429">
        <f t="shared" si="13"/>
        <v>0</v>
      </c>
      <c r="J79" s="429">
        <f t="shared" si="14"/>
        <v>1680000</v>
      </c>
      <c r="K79" s="426"/>
    </row>
    <row r="80" spans="1:11" x14ac:dyDescent="0.25">
      <c r="A80" s="431"/>
      <c r="B80" s="444" t="s">
        <v>357</v>
      </c>
      <c r="C80" s="444" t="s">
        <v>385</v>
      </c>
      <c r="D80" s="430"/>
      <c r="E80" s="445" t="s">
        <v>386</v>
      </c>
      <c r="F80" s="446">
        <v>550000</v>
      </c>
      <c r="G80" s="446">
        <v>93500</v>
      </c>
      <c r="H80" s="429">
        <f>[2]Nov!I86</f>
        <v>80000</v>
      </c>
      <c r="I80" s="446">
        <f t="shared" si="13"/>
        <v>173500</v>
      </c>
      <c r="J80" s="446">
        <f t="shared" si="14"/>
        <v>376500</v>
      </c>
      <c r="K80" s="430"/>
    </row>
    <row r="81" spans="1:11" x14ac:dyDescent="0.25">
      <c r="A81" s="477"/>
      <c r="B81" s="478"/>
      <c r="C81" s="478"/>
      <c r="D81" s="479"/>
      <c r="E81" s="480"/>
      <c r="F81" s="481"/>
      <c r="G81" s="481"/>
      <c r="H81" s="482"/>
      <c r="I81" s="481"/>
      <c r="J81" s="481"/>
      <c r="K81" s="479"/>
    </row>
    <row r="82" spans="1:11" x14ac:dyDescent="0.25">
      <c r="A82" s="447"/>
      <c r="B82" s="415" t="s">
        <v>387</v>
      </c>
      <c r="C82" s="447"/>
      <c r="D82" s="434"/>
      <c r="E82" s="416" t="s">
        <v>388</v>
      </c>
      <c r="F82" s="448">
        <f t="shared" ref="F82:J83" si="15">F83</f>
        <v>42250000</v>
      </c>
      <c r="G82" s="448">
        <f t="shared" si="15"/>
        <v>3250000</v>
      </c>
      <c r="H82" s="448">
        <f t="shared" si="15"/>
        <v>39000000</v>
      </c>
      <c r="I82" s="448">
        <f t="shared" si="15"/>
        <v>42250000</v>
      </c>
      <c r="J82" s="448">
        <f t="shared" si="15"/>
        <v>0</v>
      </c>
      <c r="K82" s="434"/>
    </row>
    <row r="83" spans="1:11" x14ac:dyDescent="0.25">
      <c r="A83" s="438"/>
      <c r="B83" s="419" t="s">
        <v>387</v>
      </c>
      <c r="C83" s="419" t="s">
        <v>332</v>
      </c>
      <c r="D83" s="418"/>
      <c r="E83" s="420" t="s">
        <v>66</v>
      </c>
      <c r="F83" s="421">
        <f t="shared" si="15"/>
        <v>42250000</v>
      </c>
      <c r="G83" s="421">
        <f t="shared" si="15"/>
        <v>3250000</v>
      </c>
      <c r="H83" s="421">
        <f t="shared" si="15"/>
        <v>39000000</v>
      </c>
      <c r="I83" s="421">
        <f t="shared" si="15"/>
        <v>42250000</v>
      </c>
      <c r="J83" s="421">
        <f t="shared" si="15"/>
        <v>0</v>
      </c>
      <c r="K83" s="418"/>
    </row>
    <row r="84" spans="1:11" x14ac:dyDescent="0.25">
      <c r="A84" s="440"/>
      <c r="B84" s="423" t="s">
        <v>387</v>
      </c>
      <c r="C84" s="423" t="s">
        <v>389</v>
      </c>
      <c r="D84" s="422"/>
      <c r="E84" s="424" t="s">
        <v>146</v>
      </c>
      <c r="F84" s="425">
        <f>SUM(F85:F86)</f>
        <v>42250000</v>
      </c>
      <c r="G84" s="425">
        <f>SUM(G85:G86)</f>
        <v>3250000</v>
      </c>
      <c r="H84" s="425">
        <f>SUM(H85:H86)</f>
        <v>39000000</v>
      </c>
      <c r="I84" s="425">
        <f>SUM(I85:I86)</f>
        <v>42250000</v>
      </c>
      <c r="J84" s="425">
        <f>SUM(J85:J86)</f>
        <v>0</v>
      </c>
      <c r="K84" s="422"/>
    </row>
    <row r="85" spans="1:11" x14ac:dyDescent="0.25">
      <c r="A85" s="439"/>
      <c r="B85" s="427" t="s">
        <v>387</v>
      </c>
      <c r="C85" s="427" t="s">
        <v>390</v>
      </c>
      <c r="D85" s="426"/>
      <c r="E85" s="428" t="s">
        <v>391</v>
      </c>
      <c r="F85" s="429">
        <v>39000000</v>
      </c>
      <c r="G85" s="429">
        <v>3250000</v>
      </c>
      <c r="H85" s="429">
        <f>[2]Nov!I94</f>
        <v>35750000</v>
      </c>
      <c r="I85" s="429">
        <f t="shared" ref="I85:I86" si="16">G85+H85</f>
        <v>39000000</v>
      </c>
      <c r="J85" s="429">
        <f t="shared" ref="J85:J86" si="17">F85-I85</f>
        <v>0</v>
      </c>
      <c r="K85" s="426"/>
    </row>
    <row r="86" spans="1:11" x14ac:dyDescent="0.25">
      <c r="A86" s="439"/>
      <c r="B86" s="427" t="s">
        <v>387</v>
      </c>
      <c r="C86" s="427" t="s">
        <v>392</v>
      </c>
      <c r="D86" s="426"/>
      <c r="E86" s="428" t="s">
        <v>393</v>
      </c>
      <c r="F86" s="429">
        <v>3250000</v>
      </c>
      <c r="G86" s="429">
        <v>0</v>
      </c>
      <c r="H86" s="429">
        <f>[2]Nov!I95</f>
        <v>3250000</v>
      </c>
      <c r="I86" s="429">
        <f t="shared" si="16"/>
        <v>3250000</v>
      </c>
      <c r="J86" s="429">
        <f t="shared" si="17"/>
        <v>0</v>
      </c>
      <c r="K86" s="426"/>
    </row>
    <row r="87" spans="1:11" x14ac:dyDescent="0.25">
      <c r="A87" s="439"/>
      <c r="B87" s="427"/>
      <c r="C87" s="427"/>
      <c r="D87" s="426"/>
      <c r="E87" s="428"/>
      <c r="F87" s="429"/>
      <c r="G87" s="429"/>
      <c r="H87" s="429"/>
      <c r="I87" s="429"/>
      <c r="J87" s="429"/>
      <c r="K87" s="426"/>
    </row>
    <row r="88" spans="1:11" ht="38.25" x14ac:dyDescent="0.25">
      <c r="A88" s="438"/>
      <c r="B88" s="449" t="s">
        <v>394</v>
      </c>
      <c r="C88" s="438"/>
      <c r="D88" s="418"/>
      <c r="E88" s="442" t="s">
        <v>395</v>
      </c>
      <c r="F88" s="443">
        <f>F89</f>
        <v>4160000</v>
      </c>
      <c r="G88" s="443">
        <f>G89</f>
        <v>2000000</v>
      </c>
      <c r="H88" s="443">
        <f>H89</f>
        <v>1636500</v>
      </c>
      <c r="I88" s="443">
        <f>I89</f>
        <v>3636500</v>
      </c>
      <c r="J88" s="443">
        <f>J89</f>
        <v>523500</v>
      </c>
      <c r="K88" s="418"/>
    </row>
    <row r="89" spans="1:11" x14ac:dyDescent="0.25">
      <c r="A89" s="438"/>
      <c r="B89" s="419" t="s">
        <v>394</v>
      </c>
      <c r="C89" s="419" t="s">
        <v>359</v>
      </c>
      <c r="D89" s="418"/>
      <c r="E89" s="420" t="s">
        <v>67</v>
      </c>
      <c r="F89" s="421">
        <f>F90+F94</f>
        <v>4160000</v>
      </c>
      <c r="G89" s="421">
        <f>G90+G94</f>
        <v>2000000</v>
      </c>
      <c r="H89" s="421">
        <f>H90+H94</f>
        <v>1636500</v>
      </c>
      <c r="I89" s="421">
        <f>I90+I94</f>
        <v>3636500</v>
      </c>
      <c r="J89" s="421">
        <f>J90+J94</f>
        <v>523500</v>
      </c>
      <c r="K89" s="418"/>
    </row>
    <row r="90" spans="1:11" x14ac:dyDescent="0.25">
      <c r="A90" s="440"/>
      <c r="B90" s="423" t="s">
        <v>394</v>
      </c>
      <c r="C90" s="423" t="s">
        <v>360</v>
      </c>
      <c r="D90" s="422"/>
      <c r="E90" s="424" t="s">
        <v>361</v>
      </c>
      <c r="F90" s="425">
        <f>SUM(F91:F93)</f>
        <v>3900000</v>
      </c>
      <c r="G90" s="425">
        <f>SUM(G91:G93)</f>
        <v>2000000</v>
      </c>
      <c r="H90" s="425">
        <f>SUM(H91:H93)</f>
        <v>1546500</v>
      </c>
      <c r="I90" s="425">
        <f>SUM(I91:I93)</f>
        <v>3546500</v>
      </c>
      <c r="J90" s="425">
        <f>SUM(J91:J93)</f>
        <v>353500</v>
      </c>
      <c r="K90" s="422"/>
    </row>
    <row r="91" spans="1:11" x14ac:dyDescent="0.25">
      <c r="A91" s="439"/>
      <c r="B91" s="427" t="s">
        <v>394</v>
      </c>
      <c r="C91" s="427" t="s">
        <v>362</v>
      </c>
      <c r="D91" s="426"/>
      <c r="E91" s="428" t="s">
        <v>363</v>
      </c>
      <c r="F91" s="429">
        <v>50000</v>
      </c>
      <c r="G91" s="429">
        <v>50000</v>
      </c>
      <c r="H91" s="429">
        <f>[2]Nov!I100</f>
        <v>0</v>
      </c>
      <c r="I91" s="429">
        <f t="shared" ref="I91:I93" si="18">G91+H91</f>
        <v>50000</v>
      </c>
      <c r="J91" s="429">
        <f t="shared" ref="J91:J93" si="19">F91-I91</f>
        <v>0</v>
      </c>
      <c r="K91" s="426"/>
    </row>
    <row r="92" spans="1:11" x14ac:dyDescent="0.25">
      <c r="A92" s="439"/>
      <c r="B92" s="427" t="s">
        <v>394</v>
      </c>
      <c r="C92" s="427" t="s">
        <v>366</v>
      </c>
      <c r="D92" s="426"/>
      <c r="E92" s="428" t="s">
        <v>367</v>
      </c>
      <c r="F92" s="429">
        <v>47500</v>
      </c>
      <c r="G92" s="429">
        <v>47500</v>
      </c>
      <c r="H92" s="429">
        <f>[2]Nov!I101</f>
        <v>0</v>
      </c>
      <c r="I92" s="429">
        <f t="shared" si="18"/>
        <v>47500</v>
      </c>
      <c r="J92" s="429">
        <f t="shared" si="19"/>
        <v>0</v>
      </c>
      <c r="K92" s="426"/>
    </row>
    <row r="93" spans="1:11" x14ac:dyDescent="0.25">
      <c r="A93" s="439"/>
      <c r="B93" s="427" t="s">
        <v>394</v>
      </c>
      <c r="C93" s="427" t="s">
        <v>368</v>
      </c>
      <c r="D93" s="426"/>
      <c r="E93" s="428" t="s">
        <v>369</v>
      </c>
      <c r="F93" s="429">
        <v>3802500</v>
      </c>
      <c r="G93" s="429">
        <f>202500+1700000</f>
        <v>1902500</v>
      </c>
      <c r="H93" s="429">
        <f>[2]Nov!I102</f>
        <v>1546500</v>
      </c>
      <c r="I93" s="429">
        <f t="shared" si="18"/>
        <v>3449000</v>
      </c>
      <c r="J93" s="429">
        <f t="shared" si="19"/>
        <v>353500</v>
      </c>
      <c r="K93" s="426"/>
    </row>
    <row r="94" spans="1:11" x14ac:dyDescent="0.25">
      <c r="A94" s="440"/>
      <c r="B94" s="423" t="s">
        <v>394</v>
      </c>
      <c r="C94" s="423" t="s">
        <v>373</v>
      </c>
      <c r="D94" s="422"/>
      <c r="E94" s="424" t="s">
        <v>145</v>
      </c>
      <c r="F94" s="425">
        <f>SUM(F95:F96)</f>
        <v>260000</v>
      </c>
      <c r="G94" s="425">
        <f>SUM(G95:G96)</f>
        <v>0</v>
      </c>
      <c r="H94" s="425">
        <f>SUM(H95:H96)</f>
        <v>90000</v>
      </c>
      <c r="I94" s="425">
        <f>SUM(I95:I96)</f>
        <v>90000</v>
      </c>
      <c r="J94" s="425">
        <f>SUM(J95:J96)</f>
        <v>170000</v>
      </c>
      <c r="K94" s="422"/>
    </row>
    <row r="95" spans="1:11" x14ac:dyDescent="0.25">
      <c r="A95" s="439"/>
      <c r="B95" s="427" t="s">
        <v>394</v>
      </c>
      <c r="C95" s="427" t="s">
        <v>374</v>
      </c>
      <c r="D95" s="426"/>
      <c r="E95" s="428" t="s">
        <v>375</v>
      </c>
      <c r="F95" s="429">
        <v>160000</v>
      </c>
      <c r="G95" s="429">
        <v>0</v>
      </c>
      <c r="H95" s="429">
        <f>[2]Nov!I104</f>
        <v>40000</v>
      </c>
      <c r="I95" s="429">
        <f t="shared" ref="I95:I96" si="20">G95+H95</f>
        <v>40000</v>
      </c>
      <c r="J95" s="429">
        <f t="shared" ref="J95:J96" si="21">F95-I95</f>
        <v>120000</v>
      </c>
      <c r="K95" s="426"/>
    </row>
    <row r="96" spans="1:11" x14ac:dyDescent="0.25">
      <c r="A96" s="439"/>
      <c r="B96" s="427" t="s">
        <v>394</v>
      </c>
      <c r="C96" s="427" t="s">
        <v>376</v>
      </c>
      <c r="D96" s="426"/>
      <c r="E96" s="428" t="s">
        <v>377</v>
      </c>
      <c r="F96" s="429">
        <v>100000</v>
      </c>
      <c r="G96" s="429">
        <v>0</v>
      </c>
      <c r="H96" s="429">
        <f>[2]Nov!I105</f>
        <v>50000</v>
      </c>
      <c r="I96" s="429">
        <f t="shared" si="20"/>
        <v>50000</v>
      </c>
      <c r="J96" s="429">
        <f t="shared" si="21"/>
        <v>50000</v>
      </c>
      <c r="K96" s="426"/>
    </row>
    <row r="97" spans="1:11" x14ac:dyDescent="0.25">
      <c r="A97" s="439"/>
      <c r="B97" s="427"/>
      <c r="C97" s="427"/>
      <c r="D97" s="426"/>
      <c r="E97" s="428"/>
      <c r="F97" s="429"/>
      <c r="G97" s="429"/>
      <c r="H97" s="429"/>
      <c r="I97" s="429"/>
      <c r="J97" s="429"/>
      <c r="K97" s="426"/>
    </row>
    <row r="98" spans="1:11" x14ac:dyDescent="0.25">
      <c r="A98" s="438"/>
      <c r="B98" s="419" t="s">
        <v>396</v>
      </c>
      <c r="C98" s="438"/>
      <c r="D98" s="418"/>
      <c r="E98" s="420" t="s">
        <v>397</v>
      </c>
      <c r="F98" s="421">
        <f>F99</f>
        <v>12000000</v>
      </c>
      <c r="G98" s="421">
        <f>G99</f>
        <v>1900000</v>
      </c>
      <c r="H98" s="421">
        <f>H99</f>
        <v>10100000</v>
      </c>
      <c r="I98" s="421">
        <f>I99</f>
        <v>12000000</v>
      </c>
      <c r="J98" s="421">
        <f>J99</f>
        <v>0</v>
      </c>
      <c r="K98" s="418"/>
    </row>
    <row r="99" spans="1:11" x14ac:dyDescent="0.25">
      <c r="A99" s="438"/>
      <c r="B99" s="419" t="s">
        <v>396</v>
      </c>
      <c r="C99" s="419" t="s">
        <v>359</v>
      </c>
      <c r="D99" s="418"/>
      <c r="E99" s="420" t="s">
        <v>67</v>
      </c>
      <c r="F99" s="421">
        <f>F100+F102</f>
        <v>12000000</v>
      </c>
      <c r="G99" s="421">
        <f>G100+G102</f>
        <v>1900000</v>
      </c>
      <c r="H99" s="421">
        <f>H100+H102</f>
        <v>10100000</v>
      </c>
      <c r="I99" s="421">
        <f>I100+I102</f>
        <v>12000000</v>
      </c>
      <c r="J99" s="421">
        <f>J100+J102</f>
        <v>0</v>
      </c>
      <c r="K99" s="418"/>
    </row>
    <row r="100" spans="1:11" x14ac:dyDescent="0.25">
      <c r="A100" s="440"/>
      <c r="B100" s="423" t="s">
        <v>396</v>
      </c>
      <c r="C100" s="423" t="s">
        <v>360</v>
      </c>
      <c r="D100" s="422"/>
      <c r="E100" s="424" t="s">
        <v>361</v>
      </c>
      <c r="F100" s="425">
        <f>SUM(F101)</f>
        <v>600000</v>
      </c>
      <c r="G100" s="425">
        <f>SUM(G101)</f>
        <v>0</v>
      </c>
      <c r="H100" s="425">
        <f>SUM(H101)</f>
        <v>600000</v>
      </c>
      <c r="I100" s="425">
        <f>SUM(I101)</f>
        <v>600000</v>
      </c>
      <c r="J100" s="425">
        <f>SUM(J101)</f>
        <v>0</v>
      </c>
      <c r="K100" s="422"/>
    </row>
    <row r="101" spans="1:11" x14ac:dyDescent="0.25">
      <c r="A101" s="439"/>
      <c r="B101" s="427" t="s">
        <v>396</v>
      </c>
      <c r="C101" s="427" t="s">
        <v>368</v>
      </c>
      <c r="D101" s="426"/>
      <c r="E101" s="428" t="s">
        <v>369</v>
      </c>
      <c r="F101" s="429">
        <v>600000</v>
      </c>
      <c r="G101" s="429">
        <v>0</v>
      </c>
      <c r="H101" s="429">
        <f>[2]Nov!I110</f>
        <v>600000</v>
      </c>
      <c r="I101" s="429">
        <f t="shared" ref="I101" si="22">G101+H101</f>
        <v>600000</v>
      </c>
      <c r="J101" s="429">
        <f t="shared" ref="J101" si="23">F101-I101</f>
        <v>0</v>
      </c>
      <c r="K101" s="426"/>
    </row>
    <row r="102" spans="1:11" x14ac:dyDescent="0.25">
      <c r="A102" s="440"/>
      <c r="B102" s="423" t="s">
        <v>396</v>
      </c>
      <c r="C102" s="423" t="s">
        <v>370</v>
      </c>
      <c r="D102" s="422"/>
      <c r="E102" s="424" t="s">
        <v>81</v>
      </c>
      <c r="F102" s="425">
        <f>SUM(F103)</f>
        <v>11400000</v>
      </c>
      <c r="G102" s="425">
        <f>SUM(G103)</f>
        <v>1900000</v>
      </c>
      <c r="H102" s="425">
        <f>SUM(H103)</f>
        <v>9500000</v>
      </c>
      <c r="I102" s="425">
        <f>SUM(I103)</f>
        <v>11400000</v>
      </c>
      <c r="J102" s="425">
        <f>SUM(J103)</f>
        <v>0</v>
      </c>
      <c r="K102" s="422"/>
    </row>
    <row r="103" spans="1:11" x14ac:dyDescent="0.25">
      <c r="A103" s="439"/>
      <c r="B103" s="427" t="s">
        <v>396</v>
      </c>
      <c r="C103" s="427" t="s">
        <v>398</v>
      </c>
      <c r="D103" s="426"/>
      <c r="E103" s="428" t="s">
        <v>399</v>
      </c>
      <c r="F103" s="429">
        <v>11400000</v>
      </c>
      <c r="G103" s="429">
        <v>1900000</v>
      </c>
      <c r="H103" s="429">
        <f>[2]Nov!I112</f>
        <v>9500000</v>
      </c>
      <c r="I103" s="429">
        <f t="shared" ref="I103" si="24">G103+H103</f>
        <v>11400000</v>
      </c>
      <c r="J103" s="429">
        <f t="shared" ref="J103" si="25">F103-I103</f>
        <v>0</v>
      </c>
      <c r="K103" s="426"/>
    </row>
    <row r="104" spans="1:11" x14ac:dyDescent="0.25">
      <c r="A104" s="439"/>
      <c r="B104" s="427"/>
      <c r="C104" s="427"/>
      <c r="D104" s="426"/>
      <c r="E104" s="428"/>
      <c r="F104" s="429"/>
      <c r="G104" s="429"/>
      <c r="H104" s="429"/>
      <c r="I104" s="429"/>
      <c r="J104" s="429"/>
      <c r="K104" s="426"/>
    </row>
    <row r="105" spans="1:11" x14ac:dyDescent="0.25">
      <c r="A105" s="438"/>
      <c r="B105" s="419" t="s">
        <v>400</v>
      </c>
      <c r="C105" s="438"/>
      <c r="D105" s="420" t="s">
        <v>401</v>
      </c>
      <c r="E105" s="418"/>
      <c r="F105" s="421">
        <f>F106+F111+F116</f>
        <v>13402000</v>
      </c>
      <c r="G105" s="421">
        <f>G106+G111+G116</f>
        <v>2550000</v>
      </c>
      <c r="H105" s="421">
        <f>H106+H111+H116</f>
        <v>10804000</v>
      </c>
      <c r="I105" s="421">
        <f>I106+I111+I116</f>
        <v>13354000</v>
      </c>
      <c r="J105" s="421">
        <f>J106+J111+J116</f>
        <v>48000</v>
      </c>
      <c r="K105" s="418"/>
    </row>
    <row r="106" spans="1:11" x14ac:dyDescent="0.25">
      <c r="A106" s="438"/>
      <c r="B106" s="419" t="s">
        <v>402</v>
      </c>
      <c r="C106" s="438"/>
      <c r="D106" s="418"/>
      <c r="E106" s="420" t="s">
        <v>403</v>
      </c>
      <c r="F106" s="421">
        <f t="shared" ref="F106:J107" si="26">F107</f>
        <v>9960000</v>
      </c>
      <c r="G106" s="421">
        <f t="shared" si="26"/>
        <v>0</v>
      </c>
      <c r="H106" s="421">
        <f t="shared" si="26"/>
        <v>9960000</v>
      </c>
      <c r="I106" s="421">
        <f t="shared" si="26"/>
        <v>9960000</v>
      </c>
      <c r="J106" s="421">
        <f t="shared" si="26"/>
        <v>0</v>
      </c>
      <c r="K106" s="418"/>
    </row>
    <row r="107" spans="1:11" x14ac:dyDescent="0.25">
      <c r="A107" s="438"/>
      <c r="B107" s="419" t="s">
        <v>402</v>
      </c>
      <c r="C107" s="419" t="s">
        <v>404</v>
      </c>
      <c r="D107" s="418"/>
      <c r="E107" s="420" t="s">
        <v>68</v>
      </c>
      <c r="F107" s="421">
        <f t="shared" si="26"/>
        <v>9960000</v>
      </c>
      <c r="G107" s="421">
        <f t="shared" si="26"/>
        <v>0</v>
      </c>
      <c r="H107" s="421">
        <f t="shared" si="26"/>
        <v>9960000</v>
      </c>
      <c r="I107" s="421">
        <f t="shared" si="26"/>
        <v>9960000</v>
      </c>
      <c r="J107" s="421">
        <f t="shared" si="26"/>
        <v>0</v>
      </c>
      <c r="K107" s="418"/>
    </row>
    <row r="108" spans="1:11" x14ac:dyDescent="0.25">
      <c r="A108" s="438"/>
      <c r="B108" s="423" t="s">
        <v>402</v>
      </c>
      <c r="C108" s="423" t="s">
        <v>405</v>
      </c>
      <c r="D108" s="422"/>
      <c r="E108" s="424" t="s">
        <v>406</v>
      </c>
      <c r="F108" s="425">
        <f>SUM(F109)</f>
        <v>9960000</v>
      </c>
      <c r="G108" s="425">
        <f>SUM(G109)</f>
        <v>0</v>
      </c>
      <c r="H108" s="425">
        <f>SUM(H109)</f>
        <v>9960000</v>
      </c>
      <c r="I108" s="425">
        <f>SUM(I109)</f>
        <v>9960000</v>
      </c>
      <c r="J108" s="425">
        <f>SUM(J109)</f>
        <v>0</v>
      </c>
      <c r="K108" s="422"/>
    </row>
    <row r="109" spans="1:11" x14ac:dyDescent="0.25">
      <c r="A109" s="438"/>
      <c r="B109" s="427" t="s">
        <v>402</v>
      </c>
      <c r="C109" s="427" t="s">
        <v>407</v>
      </c>
      <c r="D109" s="426"/>
      <c r="E109" s="428" t="s">
        <v>408</v>
      </c>
      <c r="F109" s="429">
        <v>9960000</v>
      </c>
      <c r="G109" s="429">
        <v>0</v>
      </c>
      <c r="H109" s="429">
        <f>[2]Nov!I118</f>
        <v>9960000</v>
      </c>
      <c r="I109" s="429">
        <f t="shared" ref="I109" si="27">G109+H109</f>
        <v>9960000</v>
      </c>
      <c r="J109" s="429">
        <f t="shared" ref="J109" si="28">F109-I109</f>
        <v>0</v>
      </c>
      <c r="K109" s="426"/>
    </row>
    <row r="110" spans="1:11" x14ac:dyDescent="0.25">
      <c r="A110" s="438"/>
      <c r="B110" s="419"/>
      <c r="C110" s="438"/>
      <c r="D110" s="420"/>
      <c r="E110" s="418"/>
      <c r="F110" s="421"/>
      <c r="G110" s="421"/>
      <c r="H110" s="421"/>
      <c r="I110" s="421"/>
      <c r="J110" s="421"/>
      <c r="K110" s="418"/>
    </row>
    <row r="111" spans="1:11" x14ac:dyDescent="0.25">
      <c r="A111" s="438"/>
      <c r="B111" s="419" t="s">
        <v>409</v>
      </c>
      <c r="C111" s="438"/>
      <c r="D111" s="418"/>
      <c r="E111" s="420" t="s">
        <v>410</v>
      </c>
      <c r="F111" s="421">
        <f t="shared" ref="F111:J112" si="29">F112</f>
        <v>1912000</v>
      </c>
      <c r="G111" s="421">
        <f t="shared" si="29"/>
        <v>1360000</v>
      </c>
      <c r="H111" s="421">
        <f t="shared" si="29"/>
        <v>504000</v>
      </c>
      <c r="I111" s="421">
        <f t="shared" si="29"/>
        <v>1864000</v>
      </c>
      <c r="J111" s="421">
        <f t="shared" si="29"/>
        <v>48000</v>
      </c>
      <c r="K111" s="418"/>
    </row>
    <row r="112" spans="1:11" x14ac:dyDescent="0.25">
      <c r="A112" s="438"/>
      <c r="B112" s="419" t="s">
        <v>409</v>
      </c>
      <c r="C112" s="419" t="s">
        <v>359</v>
      </c>
      <c r="D112" s="418"/>
      <c r="E112" s="420" t="s">
        <v>67</v>
      </c>
      <c r="F112" s="421">
        <f t="shared" si="29"/>
        <v>1912000</v>
      </c>
      <c r="G112" s="421">
        <f t="shared" si="29"/>
        <v>1360000</v>
      </c>
      <c r="H112" s="421">
        <f t="shared" si="29"/>
        <v>504000</v>
      </c>
      <c r="I112" s="421">
        <f t="shared" si="29"/>
        <v>1864000</v>
      </c>
      <c r="J112" s="421">
        <f t="shared" si="29"/>
        <v>48000</v>
      </c>
      <c r="K112" s="418"/>
    </row>
    <row r="113" spans="1:11" x14ac:dyDescent="0.25">
      <c r="A113" s="440"/>
      <c r="B113" s="423" t="s">
        <v>409</v>
      </c>
      <c r="C113" s="423" t="s">
        <v>411</v>
      </c>
      <c r="D113" s="422"/>
      <c r="E113" s="424" t="s">
        <v>79</v>
      </c>
      <c r="F113" s="425">
        <f>SUM(F114)</f>
        <v>1912000</v>
      </c>
      <c r="G113" s="425">
        <f>SUM(G114)</f>
        <v>1360000</v>
      </c>
      <c r="H113" s="425">
        <f>SUM(H114)</f>
        <v>504000</v>
      </c>
      <c r="I113" s="425">
        <f>SUM(I114)</f>
        <v>1864000</v>
      </c>
      <c r="J113" s="425">
        <f>SUM(J114)</f>
        <v>48000</v>
      </c>
      <c r="K113" s="422"/>
    </row>
    <row r="114" spans="1:11" x14ac:dyDescent="0.25">
      <c r="A114" s="439"/>
      <c r="B114" s="427" t="s">
        <v>409</v>
      </c>
      <c r="C114" s="427" t="s">
        <v>412</v>
      </c>
      <c r="D114" s="426"/>
      <c r="E114" s="428" t="s">
        <v>413</v>
      </c>
      <c r="F114" s="429">
        <v>1912000</v>
      </c>
      <c r="G114" s="429">
        <f>360000+1000000</f>
        <v>1360000</v>
      </c>
      <c r="H114" s="429">
        <f>[2]Nov!I123</f>
        <v>504000</v>
      </c>
      <c r="I114" s="429">
        <f t="shared" ref="I114" si="30">G114+H114</f>
        <v>1864000</v>
      </c>
      <c r="J114" s="429">
        <f t="shared" ref="J114" si="31">F114-I114</f>
        <v>48000</v>
      </c>
      <c r="K114" s="426"/>
    </row>
    <row r="115" spans="1:11" x14ac:dyDescent="0.25">
      <c r="A115" s="439"/>
      <c r="B115" s="427"/>
      <c r="C115" s="427"/>
      <c r="D115" s="426"/>
      <c r="E115" s="428"/>
      <c r="F115" s="429"/>
      <c r="G115" s="429"/>
      <c r="H115" s="429"/>
      <c r="I115" s="429"/>
      <c r="J115" s="429"/>
      <c r="K115" s="426"/>
    </row>
    <row r="116" spans="1:11" x14ac:dyDescent="0.25">
      <c r="A116" s="438"/>
      <c r="B116" s="419" t="s">
        <v>414</v>
      </c>
      <c r="C116" s="438"/>
      <c r="D116" s="418"/>
      <c r="E116" s="420" t="s">
        <v>415</v>
      </c>
      <c r="F116" s="421">
        <f t="shared" ref="F116:J117" si="32">F117</f>
        <v>1530000</v>
      </c>
      <c r="G116" s="421">
        <f t="shared" si="32"/>
        <v>1190000</v>
      </c>
      <c r="H116" s="421">
        <f t="shared" si="32"/>
        <v>340000</v>
      </c>
      <c r="I116" s="421">
        <f t="shared" si="32"/>
        <v>1530000</v>
      </c>
      <c r="J116" s="421">
        <f t="shared" si="32"/>
        <v>0</v>
      </c>
      <c r="K116" s="418"/>
    </row>
    <row r="117" spans="1:11" x14ac:dyDescent="0.25">
      <c r="A117" s="438"/>
      <c r="B117" s="419" t="s">
        <v>414</v>
      </c>
      <c r="C117" s="419" t="s">
        <v>359</v>
      </c>
      <c r="D117" s="418"/>
      <c r="E117" s="420" t="s">
        <v>67</v>
      </c>
      <c r="F117" s="421">
        <f t="shared" si="32"/>
        <v>1530000</v>
      </c>
      <c r="G117" s="421">
        <f t="shared" si="32"/>
        <v>1190000</v>
      </c>
      <c r="H117" s="421">
        <f t="shared" si="32"/>
        <v>340000</v>
      </c>
      <c r="I117" s="421">
        <f t="shared" si="32"/>
        <v>1530000</v>
      </c>
      <c r="J117" s="421">
        <f t="shared" si="32"/>
        <v>0</v>
      </c>
      <c r="K117" s="418"/>
    </row>
    <row r="118" spans="1:11" x14ac:dyDescent="0.25">
      <c r="A118" s="440"/>
      <c r="B118" s="423" t="s">
        <v>414</v>
      </c>
      <c r="C118" s="423" t="s">
        <v>411</v>
      </c>
      <c r="D118" s="422"/>
      <c r="E118" s="424" t="s">
        <v>79</v>
      </c>
      <c r="F118" s="425">
        <f>SUM(F119)</f>
        <v>1530000</v>
      </c>
      <c r="G118" s="425">
        <f>SUM(G119)</f>
        <v>1190000</v>
      </c>
      <c r="H118" s="425">
        <f>SUM(H119)</f>
        <v>340000</v>
      </c>
      <c r="I118" s="425">
        <f>SUM(I119)</f>
        <v>1530000</v>
      </c>
      <c r="J118" s="425">
        <f>SUM(J119)</f>
        <v>0</v>
      </c>
      <c r="K118" s="422"/>
    </row>
    <row r="119" spans="1:11" x14ac:dyDescent="0.25">
      <c r="A119" s="439"/>
      <c r="B119" s="427" t="s">
        <v>414</v>
      </c>
      <c r="C119" s="427" t="s">
        <v>416</v>
      </c>
      <c r="D119" s="426"/>
      <c r="E119" s="428" t="s">
        <v>417</v>
      </c>
      <c r="F119" s="429">
        <v>1530000</v>
      </c>
      <c r="G119" s="429">
        <v>1190000</v>
      </c>
      <c r="H119" s="429">
        <f>[2]Nov!I128</f>
        <v>340000</v>
      </c>
      <c r="I119" s="429">
        <f t="shared" ref="I119" si="33">G119+H119</f>
        <v>1530000</v>
      </c>
      <c r="J119" s="429">
        <f t="shared" ref="J119" si="34">F119-I119</f>
        <v>0</v>
      </c>
      <c r="K119" s="426"/>
    </row>
    <row r="120" spans="1:11" x14ac:dyDescent="0.25">
      <c r="A120" s="450"/>
      <c r="B120" s="451"/>
      <c r="C120" s="451"/>
      <c r="D120" s="452"/>
      <c r="E120" s="453"/>
      <c r="F120" s="454"/>
      <c r="G120" s="454"/>
      <c r="H120" s="454"/>
      <c r="I120" s="454"/>
      <c r="J120" s="454"/>
      <c r="K120" s="452"/>
    </row>
    <row r="121" spans="1:11" x14ac:dyDescent="0.25">
      <c r="A121" s="438"/>
      <c r="B121" s="449" t="s">
        <v>418</v>
      </c>
      <c r="C121" s="438"/>
      <c r="D121" s="540" t="s">
        <v>419</v>
      </c>
      <c r="E121" s="540"/>
      <c r="F121" s="443">
        <f>F122+F130+F137</f>
        <v>17646200</v>
      </c>
      <c r="G121" s="443">
        <f>G122+G130+G137</f>
        <v>12347500</v>
      </c>
      <c r="H121" s="443">
        <f>H122+H130+H137</f>
        <v>4718500</v>
      </c>
      <c r="I121" s="443">
        <f>I122+I130+I137</f>
        <v>17066000</v>
      </c>
      <c r="J121" s="443">
        <f>J122+J130+J137</f>
        <v>580200</v>
      </c>
      <c r="K121" s="418"/>
    </row>
    <row r="122" spans="1:11" x14ac:dyDescent="0.25">
      <c r="A122" s="438"/>
      <c r="B122" s="419" t="s">
        <v>420</v>
      </c>
      <c r="C122" s="438"/>
      <c r="D122" s="418"/>
      <c r="E122" s="420" t="s">
        <v>421</v>
      </c>
      <c r="F122" s="421">
        <f>F123</f>
        <v>10547500</v>
      </c>
      <c r="G122" s="421">
        <f>G123</f>
        <v>10547500</v>
      </c>
      <c r="H122" s="421">
        <f>H123</f>
        <v>0</v>
      </c>
      <c r="I122" s="421">
        <f>I123</f>
        <v>10547500</v>
      </c>
      <c r="J122" s="421">
        <f>J123</f>
        <v>0</v>
      </c>
      <c r="K122" s="418"/>
    </row>
    <row r="123" spans="1:11" x14ac:dyDescent="0.25">
      <c r="A123" s="438"/>
      <c r="B123" s="419" t="s">
        <v>420</v>
      </c>
      <c r="C123" s="419" t="s">
        <v>359</v>
      </c>
      <c r="D123" s="418"/>
      <c r="E123" s="420" t="s">
        <v>67</v>
      </c>
      <c r="F123" s="421">
        <f>F124+F127</f>
        <v>10547500</v>
      </c>
      <c r="G123" s="421">
        <f>G124+G127</f>
        <v>10547500</v>
      </c>
      <c r="H123" s="421">
        <f>H124+H127</f>
        <v>0</v>
      </c>
      <c r="I123" s="421">
        <f>I124+I127</f>
        <v>10547500</v>
      </c>
      <c r="J123" s="421">
        <f>J124+J127</f>
        <v>0</v>
      </c>
      <c r="K123" s="418"/>
    </row>
    <row r="124" spans="1:11" x14ac:dyDescent="0.25">
      <c r="A124" s="440"/>
      <c r="B124" s="423" t="s">
        <v>420</v>
      </c>
      <c r="C124" s="423" t="s">
        <v>360</v>
      </c>
      <c r="D124" s="422"/>
      <c r="E124" s="424" t="s">
        <v>361</v>
      </c>
      <c r="F124" s="425">
        <f>SUM(F125:F126)</f>
        <v>3377500</v>
      </c>
      <c r="G124" s="425">
        <f>SUM(G125:G126)</f>
        <v>3377500</v>
      </c>
      <c r="H124" s="425">
        <f>SUM(H125:H126)</f>
        <v>0</v>
      </c>
      <c r="I124" s="425">
        <f>SUM(I125:I126)</f>
        <v>3377500</v>
      </c>
      <c r="J124" s="425">
        <f>SUM(J125:J126)</f>
        <v>0</v>
      </c>
      <c r="K124" s="422"/>
    </row>
    <row r="125" spans="1:11" x14ac:dyDescent="0.25">
      <c r="A125" s="439"/>
      <c r="B125" s="427" t="s">
        <v>420</v>
      </c>
      <c r="C125" s="427" t="s">
        <v>366</v>
      </c>
      <c r="D125" s="426"/>
      <c r="E125" s="428" t="s">
        <v>367</v>
      </c>
      <c r="F125" s="429">
        <v>3227500</v>
      </c>
      <c r="G125" s="429">
        <f>2987500+195000+45000</f>
        <v>3227500</v>
      </c>
      <c r="H125" s="429">
        <f>[2]Nov!I140</f>
        <v>0</v>
      </c>
      <c r="I125" s="429">
        <f t="shared" ref="I125:I126" si="35">G125+H125</f>
        <v>3227500</v>
      </c>
      <c r="J125" s="429">
        <f t="shared" ref="J125:J126" si="36">F125-I125</f>
        <v>0</v>
      </c>
      <c r="K125" s="426"/>
    </row>
    <row r="126" spans="1:11" x14ac:dyDescent="0.25">
      <c r="A126" s="439"/>
      <c r="B126" s="427" t="s">
        <v>420</v>
      </c>
      <c r="C126" s="427" t="s">
        <v>368</v>
      </c>
      <c r="D126" s="426"/>
      <c r="E126" s="428" t="s">
        <v>369</v>
      </c>
      <c r="F126" s="429">
        <v>150000</v>
      </c>
      <c r="G126" s="429">
        <v>150000</v>
      </c>
      <c r="H126" s="429">
        <f>[2]Nov!I141</f>
        <v>0</v>
      </c>
      <c r="I126" s="429">
        <f t="shared" si="35"/>
        <v>150000</v>
      </c>
      <c r="J126" s="429">
        <f t="shared" si="36"/>
        <v>0</v>
      </c>
      <c r="K126" s="426"/>
    </row>
    <row r="127" spans="1:11" x14ac:dyDescent="0.25">
      <c r="A127" s="440"/>
      <c r="B127" s="423" t="s">
        <v>420</v>
      </c>
      <c r="C127" s="423" t="s">
        <v>370</v>
      </c>
      <c r="D127" s="422"/>
      <c r="E127" s="424" t="s">
        <v>81</v>
      </c>
      <c r="F127" s="425">
        <f>SUM(F128)</f>
        <v>7170000</v>
      </c>
      <c r="G127" s="425">
        <f>SUM(G128)</f>
        <v>7170000</v>
      </c>
      <c r="H127" s="425">
        <f>SUM(H128)</f>
        <v>0</v>
      </c>
      <c r="I127" s="425">
        <f>SUM(I128)</f>
        <v>7170000</v>
      </c>
      <c r="J127" s="425">
        <f>SUM(J128)</f>
        <v>0</v>
      </c>
      <c r="K127" s="422"/>
    </row>
    <row r="128" spans="1:11" x14ac:dyDescent="0.25">
      <c r="A128" s="450"/>
      <c r="B128" s="451" t="s">
        <v>420</v>
      </c>
      <c r="C128" s="451" t="s">
        <v>422</v>
      </c>
      <c r="D128" s="452"/>
      <c r="E128" s="453" t="s">
        <v>423</v>
      </c>
      <c r="F128" s="454">
        <v>7170000</v>
      </c>
      <c r="G128" s="454">
        <f>3585000+3585000</f>
        <v>7170000</v>
      </c>
      <c r="H128" s="429">
        <f>[2]Nov!I143</f>
        <v>0</v>
      </c>
      <c r="I128" s="454">
        <f t="shared" ref="I128" si="37">G128+H128</f>
        <v>7170000</v>
      </c>
      <c r="J128" s="454">
        <f t="shared" ref="J128" si="38">F128-I128</f>
        <v>0</v>
      </c>
      <c r="K128" s="452"/>
    </row>
    <row r="129" spans="1:11" x14ac:dyDescent="0.25">
      <c r="A129" s="439"/>
      <c r="B129" s="427"/>
      <c r="C129" s="427"/>
      <c r="D129" s="426"/>
      <c r="E129" s="428"/>
      <c r="F129" s="429"/>
      <c r="G129" s="429"/>
      <c r="H129" s="429"/>
      <c r="I129" s="429"/>
      <c r="J129" s="429"/>
      <c r="K129" s="426"/>
    </row>
    <row r="130" spans="1:11" x14ac:dyDescent="0.25">
      <c r="A130" s="455"/>
      <c r="B130" s="456" t="s">
        <v>424</v>
      </c>
      <c r="C130" s="455"/>
      <c r="D130" s="457"/>
      <c r="E130" s="458" t="s">
        <v>425</v>
      </c>
      <c r="F130" s="459">
        <f t="shared" ref="F130:J131" si="39">F131</f>
        <v>545000</v>
      </c>
      <c r="G130" s="459">
        <f t="shared" si="39"/>
        <v>0</v>
      </c>
      <c r="H130" s="459">
        <f t="shared" si="39"/>
        <v>545000</v>
      </c>
      <c r="I130" s="459">
        <f t="shared" si="39"/>
        <v>545000</v>
      </c>
      <c r="J130" s="459">
        <f t="shared" si="39"/>
        <v>0</v>
      </c>
      <c r="K130" s="457"/>
    </row>
    <row r="131" spans="1:11" x14ac:dyDescent="0.25">
      <c r="A131" s="438"/>
      <c r="B131" s="419" t="s">
        <v>424</v>
      </c>
      <c r="C131" s="419" t="s">
        <v>359</v>
      </c>
      <c r="D131" s="418"/>
      <c r="E131" s="420" t="s">
        <v>67</v>
      </c>
      <c r="F131" s="421">
        <f t="shared" si="39"/>
        <v>545000</v>
      </c>
      <c r="G131" s="421">
        <f t="shared" si="39"/>
        <v>0</v>
      </c>
      <c r="H131" s="421">
        <f t="shared" si="39"/>
        <v>545000</v>
      </c>
      <c r="I131" s="421">
        <f t="shared" si="39"/>
        <v>545000</v>
      </c>
      <c r="J131" s="421">
        <f t="shared" si="39"/>
        <v>0</v>
      </c>
      <c r="K131" s="418"/>
    </row>
    <row r="132" spans="1:11" x14ac:dyDescent="0.25">
      <c r="A132" s="440"/>
      <c r="B132" s="423" t="s">
        <v>424</v>
      </c>
      <c r="C132" s="423" t="s">
        <v>360</v>
      </c>
      <c r="D132" s="422"/>
      <c r="E132" s="424" t="s">
        <v>361</v>
      </c>
      <c r="F132" s="425">
        <f>SUM(F133:F135)</f>
        <v>545000</v>
      </c>
      <c r="G132" s="425">
        <f>SUM(G133:G135)</f>
        <v>0</v>
      </c>
      <c r="H132" s="425">
        <f>SUM(H133:H135)</f>
        <v>545000</v>
      </c>
      <c r="I132" s="425">
        <f>SUM(I133:I135)</f>
        <v>545000</v>
      </c>
      <c r="J132" s="425">
        <f>SUM(J133:J135)</f>
        <v>0</v>
      </c>
      <c r="K132" s="422"/>
    </row>
    <row r="133" spans="1:11" x14ac:dyDescent="0.25">
      <c r="A133" s="439"/>
      <c r="B133" s="427" t="s">
        <v>424</v>
      </c>
      <c r="C133" s="427" t="s">
        <v>362</v>
      </c>
      <c r="D133" s="426"/>
      <c r="E133" s="428" t="s">
        <v>363</v>
      </c>
      <c r="F133" s="429">
        <v>65000</v>
      </c>
      <c r="G133" s="429">
        <v>0</v>
      </c>
      <c r="H133" s="429">
        <f>[2]Nov!I148</f>
        <v>65000</v>
      </c>
      <c r="I133" s="429">
        <f t="shared" ref="I133:I135" si="40">G133+H133</f>
        <v>65000</v>
      </c>
      <c r="J133" s="429">
        <f t="shared" ref="J133:J135" si="41">F133-I133</f>
        <v>0</v>
      </c>
      <c r="K133" s="426"/>
    </row>
    <row r="134" spans="1:11" x14ac:dyDescent="0.25">
      <c r="A134" s="439"/>
      <c r="B134" s="427" t="s">
        <v>424</v>
      </c>
      <c r="C134" s="427" t="s">
        <v>366</v>
      </c>
      <c r="D134" s="426"/>
      <c r="E134" s="428" t="s">
        <v>367</v>
      </c>
      <c r="F134" s="429">
        <v>120000</v>
      </c>
      <c r="G134" s="429">
        <v>0</v>
      </c>
      <c r="H134" s="429">
        <f>[2]Nov!I149</f>
        <v>120000</v>
      </c>
      <c r="I134" s="429">
        <f t="shared" si="40"/>
        <v>120000</v>
      </c>
      <c r="J134" s="429">
        <f t="shared" si="41"/>
        <v>0</v>
      </c>
      <c r="K134" s="426"/>
    </row>
    <row r="135" spans="1:11" x14ac:dyDescent="0.25">
      <c r="A135" s="439"/>
      <c r="B135" s="427" t="s">
        <v>424</v>
      </c>
      <c r="C135" s="427" t="s">
        <v>368</v>
      </c>
      <c r="D135" s="426"/>
      <c r="E135" s="428" t="s">
        <v>369</v>
      </c>
      <c r="F135" s="429">
        <v>360000</v>
      </c>
      <c r="G135" s="429">
        <v>0</v>
      </c>
      <c r="H135" s="429">
        <f>[2]Nov!I150</f>
        <v>360000</v>
      </c>
      <c r="I135" s="429">
        <f t="shared" si="40"/>
        <v>360000</v>
      </c>
      <c r="J135" s="429">
        <f t="shared" si="41"/>
        <v>0</v>
      </c>
      <c r="K135" s="426"/>
    </row>
    <row r="136" spans="1:11" x14ac:dyDescent="0.25">
      <c r="A136" s="439"/>
      <c r="B136" s="427"/>
      <c r="C136" s="427"/>
      <c r="D136" s="426"/>
      <c r="E136" s="428"/>
      <c r="F136" s="429"/>
      <c r="G136" s="429"/>
      <c r="H136" s="429"/>
      <c r="I136" s="429"/>
      <c r="J136" s="429"/>
      <c r="K136" s="426"/>
    </row>
    <row r="137" spans="1:11" x14ac:dyDescent="0.25">
      <c r="A137" s="438"/>
      <c r="B137" s="419" t="s">
        <v>426</v>
      </c>
      <c r="C137" s="438"/>
      <c r="D137" s="418"/>
      <c r="E137" s="420" t="s">
        <v>427</v>
      </c>
      <c r="F137" s="421">
        <f>F138</f>
        <v>6553700</v>
      </c>
      <c r="G137" s="421">
        <f>G138</f>
        <v>1800000</v>
      </c>
      <c r="H137" s="421">
        <f>H138</f>
        <v>4173500</v>
      </c>
      <c r="I137" s="421">
        <f>I138</f>
        <v>5973500</v>
      </c>
      <c r="J137" s="421">
        <f>J138</f>
        <v>580200</v>
      </c>
      <c r="K137" s="418"/>
    </row>
    <row r="138" spans="1:11" x14ac:dyDescent="0.25">
      <c r="A138" s="438"/>
      <c r="B138" s="419" t="s">
        <v>426</v>
      </c>
      <c r="C138" s="419" t="s">
        <v>359</v>
      </c>
      <c r="D138" s="418"/>
      <c r="E138" s="420" t="s">
        <v>67</v>
      </c>
      <c r="F138" s="421">
        <f>F139+F143</f>
        <v>6553700</v>
      </c>
      <c r="G138" s="421">
        <f>G139+G143</f>
        <v>1800000</v>
      </c>
      <c r="H138" s="421">
        <f>H139+H143</f>
        <v>4173500</v>
      </c>
      <c r="I138" s="421">
        <f>I139+I143</f>
        <v>5973500</v>
      </c>
      <c r="J138" s="421">
        <f>J139+J143</f>
        <v>580200</v>
      </c>
      <c r="K138" s="418"/>
    </row>
    <row r="139" spans="1:11" x14ac:dyDescent="0.25">
      <c r="A139" s="440"/>
      <c r="B139" s="423" t="s">
        <v>426</v>
      </c>
      <c r="C139" s="423" t="s">
        <v>360</v>
      </c>
      <c r="D139" s="422"/>
      <c r="E139" s="424" t="s">
        <v>361</v>
      </c>
      <c r="F139" s="425">
        <f>SUM(F140:F142)</f>
        <v>4133700</v>
      </c>
      <c r="G139" s="425">
        <f>SUM(G140:G142)</f>
        <v>0</v>
      </c>
      <c r="H139" s="425">
        <f>SUM(H140:H142)</f>
        <v>3553500</v>
      </c>
      <c r="I139" s="425">
        <f>SUM(I140:I142)</f>
        <v>3553500</v>
      </c>
      <c r="J139" s="425">
        <f>SUM(J140:J142)</f>
        <v>580200</v>
      </c>
      <c r="K139" s="422"/>
    </row>
    <row r="140" spans="1:11" x14ac:dyDescent="0.25">
      <c r="A140" s="439"/>
      <c r="B140" s="427" t="s">
        <v>426</v>
      </c>
      <c r="C140" s="427" t="s">
        <v>362</v>
      </c>
      <c r="D140" s="426"/>
      <c r="E140" s="428" t="s">
        <v>363</v>
      </c>
      <c r="F140" s="429">
        <v>440000</v>
      </c>
      <c r="G140" s="429">
        <v>0</v>
      </c>
      <c r="H140" s="429">
        <f>[2]Nov!I155</f>
        <v>440000</v>
      </c>
      <c r="I140" s="429">
        <f t="shared" ref="I140:I142" si="42">G140+H140</f>
        <v>440000</v>
      </c>
      <c r="J140" s="429">
        <f t="shared" ref="J140:J142" si="43">F140-I140</f>
        <v>0</v>
      </c>
      <c r="K140" s="426"/>
    </row>
    <row r="141" spans="1:11" x14ac:dyDescent="0.25">
      <c r="A141" s="439"/>
      <c r="B141" s="427" t="s">
        <v>426</v>
      </c>
      <c r="C141" s="427" t="s">
        <v>366</v>
      </c>
      <c r="D141" s="426"/>
      <c r="E141" s="428" t="s">
        <v>367</v>
      </c>
      <c r="F141" s="429">
        <v>893700</v>
      </c>
      <c r="G141" s="429">
        <v>0</v>
      </c>
      <c r="H141" s="429">
        <f>[2]Nov!I156</f>
        <v>393500</v>
      </c>
      <c r="I141" s="429">
        <f t="shared" si="42"/>
        <v>393500</v>
      </c>
      <c r="J141" s="429">
        <f t="shared" si="43"/>
        <v>500200</v>
      </c>
      <c r="K141" s="426"/>
    </row>
    <row r="142" spans="1:11" x14ac:dyDescent="0.25">
      <c r="A142" s="439"/>
      <c r="B142" s="427" t="s">
        <v>426</v>
      </c>
      <c r="C142" s="427" t="s">
        <v>368</v>
      </c>
      <c r="D142" s="426"/>
      <c r="E142" s="428" t="s">
        <v>369</v>
      </c>
      <c r="F142" s="429">
        <v>2800000</v>
      </c>
      <c r="G142" s="429">
        <v>0</v>
      </c>
      <c r="H142" s="429">
        <f>[2]Nov!I157</f>
        <v>2720000</v>
      </c>
      <c r="I142" s="429">
        <f t="shared" si="42"/>
        <v>2720000</v>
      </c>
      <c r="J142" s="429">
        <f t="shared" si="43"/>
        <v>80000</v>
      </c>
      <c r="K142" s="426"/>
    </row>
    <row r="143" spans="1:11" x14ac:dyDescent="0.25">
      <c r="A143" s="440"/>
      <c r="B143" s="423" t="s">
        <v>426</v>
      </c>
      <c r="C143" s="423" t="s">
        <v>370</v>
      </c>
      <c r="D143" s="422"/>
      <c r="E143" s="424" t="s">
        <v>81</v>
      </c>
      <c r="F143" s="425">
        <f>SUM(F144)</f>
        <v>2420000</v>
      </c>
      <c r="G143" s="425">
        <f>SUM(G144)</f>
        <v>1800000</v>
      </c>
      <c r="H143" s="425">
        <f>SUM(H144)</f>
        <v>620000</v>
      </c>
      <c r="I143" s="425">
        <f>SUM(I144)</f>
        <v>2420000</v>
      </c>
      <c r="J143" s="425">
        <f>SUM(J144)</f>
        <v>0</v>
      </c>
      <c r="K143" s="422"/>
    </row>
    <row r="144" spans="1:11" x14ac:dyDescent="0.25">
      <c r="A144" s="439"/>
      <c r="B144" s="427" t="s">
        <v>426</v>
      </c>
      <c r="C144" s="427" t="s">
        <v>422</v>
      </c>
      <c r="D144" s="426"/>
      <c r="E144" s="428" t="s">
        <v>423</v>
      </c>
      <c r="F144" s="429">
        <v>2420000</v>
      </c>
      <c r="G144" s="429">
        <f>900000+900000</f>
        <v>1800000</v>
      </c>
      <c r="H144" s="429">
        <f>[2]Nov!I159</f>
        <v>620000</v>
      </c>
      <c r="I144" s="429">
        <f t="shared" ref="I144" si="44">G144+H144</f>
        <v>2420000</v>
      </c>
      <c r="J144" s="429">
        <f t="shared" ref="J144" si="45">F144-I144</f>
        <v>0</v>
      </c>
      <c r="K144" s="426"/>
    </row>
    <row r="145" spans="1:11" x14ac:dyDescent="0.25">
      <c r="A145" s="439"/>
      <c r="B145" s="427"/>
      <c r="C145" s="427"/>
      <c r="D145" s="426"/>
      <c r="E145" s="428"/>
      <c r="F145" s="429"/>
      <c r="G145" s="429"/>
      <c r="H145" s="429"/>
      <c r="I145" s="429"/>
      <c r="J145" s="429"/>
      <c r="K145" s="426"/>
    </row>
    <row r="146" spans="1:11" x14ac:dyDescent="0.25">
      <c r="A146" s="438"/>
      <c r="B146" s="449" t="s">
        <v>428</v>
      </c>
      <c r="C146" s="438"/>
      <c r="D146" s="540" t="s">
        <v>429</v>
      </c>
      <c r="E146" s="540"/>
      <c r="F146" s="443">
        <f>F147+F154+F160+F169+F175+F181+F187+F195+F201+F213</f>
        <v>79747716</v>
      </c>
      <c r="G146" s="443">
        <f>G147+G154+G160+G169+G175+G181+G187+G195+G201+G213</f>
        <v>31949800</v>
      </c>
      <c r="H146" s="443">
        <f>H147+H154+H160+H169+H175+H181+H187+H195+H201+H213</f>
        <v>44879250</v>
      </c>
      <c r="I146" s="443">
        <f>I147+I154+I160+I169+I175+I181+I187+I195+I201+I213</f>
        <v>76829050</v>
      </c>
      <c r="J146" s="443">
        <f>J147+J154+J160+J169+J175+J181+J187+J195+J201+J213</f>
        <v>2918666</v>
      </c>
      <c r="K146" s="418"/>
    </row>
    <row r="147" spans="1:11" ht="25.5" x14ac:dyDescent="0.25">
      <c r="A147" s="438"/>
      <c r="B147" s="449" t="s">
        <v>430</v>
      </c>
      <c r="C147" s="438"/>
      <c r="D147" s="418"/>
      <c r="E147" s="442" t="s">
        <v>431</v>
      </c>
      <c r="F147" s="443">
        <f t="shared" ref="F147:J148" si="46">F148</f>
        <v>11936858</v>
      </c>
      <c r="G147" s="443">
        <f t="shared" si="46"/>
        <v>800000</v>
      </c>
      <c r="H147" s="443">
        <f t="shared" si="46"/>
        <v>9656750</v>
      </c>
      <c r="I147" s="443">
        <f t="shared" si="46"/>
        <v>10456750</v>
      </c>
      <c r="J147" s="443">
        <f t="shared" si="46"/>
        <v>1480108</v>
      </c>
      <c r="K147" s="418"/>
    </row>
    <row r="148" spans="1:11" x14ac:dyDescent="0.25">
      <c r="A148" s="438"/>
      <c r="B148" s="419" t="s">
        <v>430</v>
      </c>
      <c r="C148" s="419" t="s">
        <v>359</v>
      </c>
      <c r="D148" s="418"/>
      <c r="E148" s="420" t="s">
        <v>67</v>
      </c>
      <c r="F148" s="421">
        <f t="shared" si="46"/>
        <v>11936858</v>
      </c>
      <c r="G148" s="421">
        <f t="shared" si="46"/>
        <v>800000</v>
      </c>
      <c r="H148" s="421">
        <f t="shared" si="46"/>
        <v>9656750</v>
      </c>
      <c r="I148" s="421">
        <f t="shared" si="46"/>
        <v>10456750</v>
      </c>
      <c r="J148" s="421">
        <f t="shared" si="46"/>
        <v>1480108</v>
      </c>
      <c r="K148" s="418"/>
    </row>
    <row r="149" spans="1:11" x14ac:dyDescent="0.25">
      <c r="A149" s="440"/>
      <c r="B149" s="423" t="s">
        <v>430</v>
      </c>
      <c r="C149" s="423" t="s">
        <v>360</v>
      </c>
      <c r="D149" s="422"/>
      <c r="E149" s="424" t="s">
        <v>361</v>
      </c>
      <c r="F149" s="425">
        <f>SUM(F150:F152)</f>
        <v>11936858</v>
      </c>
      <c r="G149" s="425">
        <f>SUM(G150:G152)</f>
        <v>800000</v>
      </c>
      <c r="H149" s="425">
        <f>SUM(H150:H152)</f>
        <v>9656750</v>
      </c>
      <c r="I149" s="425">
        <f>SUM(I150:I152)</f>
        <v>10456750</v>
      </c>
      <c r="J149" s="425">
        <f>SUM(J150:J152)</f>
        <v>1480108</v>
      </c>
      <c r="K149" s="422"/>
    </row>
    <row r="150" spans="1:11" x14ac:dyDescent="0.25">
      <c r="A150" s="439"/>
      <c r="B150" s="427" t="s">
        <v>430</v>
      </c>
      <c r="C150" s="427" t="s">
        <v>362</v>
      </c>
      <c r="D150" s="426"/>
      <c r="E150" s="428" t="s">
        <v>363</v>
      </c>
      <c r="F150" s="429">
        <v>530000</v>
      </c>
      <c r="G150" s="429">
        <v>0</v>
      </c>
      <c r="H150" s="429">
        <f>[2]Nov!I165</f>
        <v>530000</v>
      </c>
      <c r="I150" s="429">
        <f t="shared" ref="I150:I152" si="47">G150+H150</f>
        <v>530000</v>
      </c>
      <c r="J150" s="429">
        <f t="shared" ref="J150:J152" si="48">F150-I150</f>
        <v>0</v>
      </c>
      <c r="K150" s="426"/>
    </row>
    <row r="151" spans="1:11" x14ac:dyDescent="0.25">
      <c r="A151" s="439"/>
      <c r="B151" s="427" t="s">
        <v>430</v>
      </c>
      <c r="C151" s="427" t="s">
        <v>366</v>
      </c>
      <c r="D151" s="426"/>
      <c r="E151" s="428" t="s">
        <v>367</v>
      </c>
      <c r="F151" s="429">
        <v>1206858</v>
      </c>
      <c r="G151" s="429">
        <v>0</v>
      </c>
      <c r="H151" s="429">
        <f>[2]Nov!I166</f>
        <v>1206750</v>
      </c>
      <c r="I151" s="429">
        <f t="shared" si="47"/>
        <v>1206750</v>
      </c>
      <c r="J151" s="429">
        <f t="shared" si="48"/>
        <v>108</v>
      </c>
      <c r="K151" s="426"/>
    </row>
    <row r="152" spans="1:11" x14ac:dyDescent="0.25">
      <c r="A152" s="439"/>
      <c r="B152" s="427" t="s">
        <v>430</v>
      </c>
      <c r="C152" s="427" t="s">
        <v>368</v>
      </c>
      <c r="D152" s="426"/>
      <c r="E152" s="428" t="s">
        <v>369</v>
      </c>
      <c r="F152" s="429">
        <v>10200000</v>
      </c>
      <c r="G152" s="429">
        <v>800000</v>
      </c>
      <c r="H152" s="429">
        <f>[2]Nov!I167</f>
        <v>7920000</v>
      </c>
      <c r="I152" s="429">
        <f t="shared" si="47"/>
        <v>8720000</v>
      </c>
      <c r="J152" s="429">
        <f t="shared" si="48"/>
        <v>1480000</v>
      </c>
      <c r="K152" s="426"/>
    </row>
    <row r="153" spans="1:11" x14ac:dyDescent="0.25">
      <c r="A153" s="439"/>
      <c r="B153" s="427"/>
      <c r="C153" s="427"/>
      <c r="D153" s="426"/>
      <c r="E153" s="428"/>
      <c r="F153" s="429"/>
      <c r="G153" s="429"/>
      <c r="H153" s="429"/>
      <c r="I153" s="429"/>
      <c r="J153" s="429"/>
      <c r="K153" s="426"/>
    </row>
    <row r="154" spans="1:11" ht="38.25" x14ac:dyDescent="0.25">
      <c r="A154" s="438"/>
      <c r="B154" s="449" t="s">
        <v>432</v>
      </c>
      <c r="C154" s="438"/>
      <c r="D154" s="418"/>
      <c r="E154" s="442" t="s">
        <v>433</v>
      </c>
      <c r="F154" s="443">
        <f t="shared" ref="F154:J155" si="49">F155</f>
        <v>4205500</v>
      </c>
      <c r="G154" s="443">
        <f t="shared" si="49"/>
        <v>0</v>
      </c>
      <c r="H154" s="443">
        <f t="shared" si="49"/>
        <v>4205500</v>
      </c>
      <c r="I154" s="443">
        <f t="shared" si="49"/>
        <v>4205500</v>
      </c>
      <c r="J154" s="443">
        <f t="shared" si="49"/>
        <v>0</v>
      </c>
      <c r="K154" s="418"/>
    </row>
    <row r="155" spans="1:11" x14ac:dyDescent="0.25">
      <c r="A155" s="438"/>
      <c r="B155" s="419" t="s">
        <v>432</v>
      </c>
      <c r="C155" s="419" t="s">
        <v>359</v>
      </c>
      <c r="D155" s="418"/>
      <c r="E155" s="420" t="s">
        <v>67</v>
      </c>
      <c r="F155" s="421">
        <f t="shared" si="49"/>
        <v>4205500</v>
      </c>
      <c r="G155" s="421">
        <f t="shared" si="49"/>
        <v>0</v>
      </c>
      <c r="H155" s="421">
        <f t="shared" si="49"/>
        <v>4205500</v>
      </c>
      <c r="I155" s="421">
        <f t="shared" si="49"/>
        <v>4205500</v>
      </c>
      <c r="J155" s="421">
        <f t="shared" si="49"/>
        <v>0</v>
      </c>
      <c r="K155" s="418"/>
    </row>
    <row r="156" spans="1:11" x14ac:dyDescent="0.25">
      <c r="A156" s="440"/>
      <c r="B156" s="423" t="s">
        <v>432</v>
      </c>
      <c r="C156" s="423" t="s">
        <v>360</v>
      </c>
      <c r="D156" s="422"/>
      <c r="E156" s="424" t="s">
        <v>361</v>
      </c>
      <c r="F156" s="425">
        <f>SUM(F157:F158)</f>
        <v>4205500</v>
      </c>
      <c r="G156" s="425">
        <f>SUM(G157:G158)</f>
        <v>0</v>
      </c>
      <c r="H156" s="425">
        <f>SUM(H157:H158)</f>
        <v>4205500</v>
      </c>
      <c r="I156" s="425">
        <f>SUM(I157:I158)</f>
        <v>4205500</v>
      </c>
      <c r="J156" s="425">
        <f>SUM(J157:J158)</f>
        <v>0</v>
      </c>
      <c r="K156" s="422"/>
    </row>
    <row r="157" spans="1:11" x14ac:dyDescent="0.25">
      <c r="A157" s="439"/>
      <c r="B157" s="427" t="s">
        <v>432</v>
      </c>
      <c r="C157" s="427" t="s">
        <v>366</v>
      </c>
      <c r="D157" s="426"/>
      <c r="E157" s="428" t="s">
        <v>367</v>
      </c>
      <c r="F157" s="429">
        <v>793000</v>
      </c>
      <c r="G157" s="429">
        <v>0</v>
      </c>
      <c r="H157" s="429">
        <f>[2]Nov!I172</f>
        <v>793000</v>
      </c>
      <c r="I157" s="429">
        <f t="shared" ref="I157:I158" si="50">G157+H157</f>
        <v>793000</v>
      </c>
      <c r="J157" s="429">
        <f t="shared" ref="J157:J158" si="51">F157-I157</f>
        <v>0</v>
      </c>
      <c r="K157" s="426"/>
    </row>
    <row r="158" spans="1:11" x14ac:dyDescent="0.25">
      <c r="A158" s="450"/>
      <c r="B158" s="451" t="s">
        <v>432</v>
      </c>
      <c r="C158" s="451" t="s">
        <v>368</v>
      </c>
      <c r="D158" s="452"/>
      <c r="E158" s="453" t="s">
        <v>369</v>
      </c>
      <c r="F158" s="454">
        <v>3412500</v>
      </c>
      <c r="G158" s="454">
        <v>0</v>
      </c>
      <c r="H158" s="429">
        <f>[2]Nov!I173</f>
        <v>3412500</v>
      </c>
      <c r="I158" s="454">
        <f t="shared" si="50"/>
        <v>3412500</v>
      </c>
      <c r="J158" s="454">
        <f t="shared" si="51"/>
        <v>0</v>
      </c>
      <c r="K158" s="452"/>
    </row>
    <row r="159" spans="1:11" x14ac:dyDescent="0.25">
      <c r="A159" s="450"/>
      <c r="B159" s="451"/>
      <c r="C159" s="451"/>
      <c r="D159" s="452"/>
      <c r="E159" s="453"/>
      <c r="F159" s="454"/>
      <c r="G159" s="454"/>
      <c r="H159" s="429"/>
      <c r="I159" s="454"/>
      <c r="J159" s="454"/>
      <c r="K159" s="452"/>
    </row>
    <row r="160" spans="1:11" x14ac:dyDescent="0.25">
      <c r="A160" s="438"/>
      <c r="B160" s="419" t="s">
        <v>434</v>
      </c>
      <c r="C160" s="438"/>
      <c r="D160" s="418"/>
      <c r="E160" s="420" t="s">
        <v>435</v>
      </c>
      <c r="F160" s="421">
        <f>F161</f>
        <v>7156858</v>
      </c>
      <c r="G160" s="421">
        <f>G161</f>
        <v>696750</v>
      </c>
      <c r="H160" s="421">
        <f>H161</f>
        <v>5800000</v>
      </c>
      <c r="I160" s="421">
        <f>I161</f>
        <v>6496750</v>
      </c>
      <c r="J160" s="421">
        <f>J161</f>
        <v>660108</v>
      </c>
      <c r="K160" s="418"/>
    </row>
    <row r="161" spans="1:11" x14ac:dyDescent="0.25">
      <c r="A161" s="438"/>
      <c r="B161" s="419" t="s">
        <v>434</v>
      </c>
      <c r="C161" s="419" t="s">
        <v>359</v>
      </c>
      <c r="D161" s="418"/>
      <c r="E161" s="420" t="s">
        <v>67</v>
      </c>
      <c r="F161" s="421">
        <f>F162+F166</f>
        <v>7156858</v>
      </c>
      <c r="G161" s="421">
        <f>G162+G166</f>
        <v>696750</v>
      </c>
      <c r="H161" s="421">
        <f>H162+H166</f>
        <v>5800000</v>
      </c>
      <c r="I161" s="421">
        <f>I162+I166</f>
        <v>6496750</v>
      </c>
      <c r="J161" s="421">
        <f>J162+J166</f>
        <v>660108</v>
      </c>
      <c r="K161" s="418"/>
    </row>
    <row r="162" spans="1:11" x14ac:dyDescent="0.25">
      <c r="A162" s="440"/>
      <c r="B162" s="423" t="s">
        <v>434</v>
      </c>
      <c r="C162" s="423" t="s">
        <v>360</v>
      </c>
      <c r="D162" s="422"/>
      <c r="E162" s="424" t="s">
        <v>361</v>
      </c>
      <c r="F162" s="425">
        <f>SUM(F163:F165)</f>
        <v>2956858</v>
      </c>
      <c r="G162" s="425">
        <f>SUM(G163:G165)</f>
        <v>696750</v>
      </c>
      <c r="H162" s="425">
        <f>SUM(H163:H165)</f>
        <v>1600000</v>
      </c>
      <c r="I162" s="425">
        <f>SUM(I163:I165)</f>
        <v>2296750</v>
      </c>
      <c r="J162" s="425">
        <f>SUM(J163:J165)</f>
        <v>660108</v>
      </c>
      <c r="K162" s="422"/>
    </row>
    <row r="163" spans="1:11" x14ac:dyDescent="0.25">
      <c r="A163" s="439"/>
      <c r="B163" s="427" t="s">
        <v>434</v>
      </c>
      <c r="C163" s="427" t="s">
        <v>362</v>
      </c>
      <c r="D163" s="426"/>
      <c r="E163" s="428" t="s">
        <v>363</v>
      </c>
      <c r="F163" s="429">
        <v>500000</v>
      </c>
      <c r="G163" s="429">
        <v>300000</v>
      </c>
      <c r="H163" s="429">
        <f>[2]Nov!I181</f>
        <v>200000</v>
      </c>
      <c r="I163" s="429">
        <f t="shared" ref="I163:I165" si="52">G163+H163</f>
        <v>500000</v>
      </c>
      <c r="J163" s="429">
        <f t="shared" ref="J163:J165" si="53">F163-I163</f>
        <v>0</v>
      </c>
      <c r="K163" s="426"/>
    </row>
    <row r="164" spans="1:11" x14ac:dyDescent="0.25">
      <c r="A164" s="439"/>
      <c r="B164" s="427" t="s">
        <v>434</v>
      </c>
      <c r="C164" s="427" t="s">
        <v>366</v>
      </c>
      <c r="D164" s="426"/>
      <c r="E164" s="428" t="s">
        <v>367</v>
      </c>
      <c r="F164" s="429">
        <v>696858</v>
      </c>
      <c r="G164" s="429">
        <v>396750</v>
      </c>
      <c r="H164" s="429">
        <f>[2]Nov!I182</f>
        <v>300000</v>
      </c>
      <c r="I164" s="429">
        <f t="shared" si="52"/>
        <v>696750</v>
      </c>
      <c r="J164" s="429">
        <f t="shared" si="53"/>
        <v>108</v>
      </c>
      <c r="K164" s="426"/>
    </row>
    <row r="165" spans="1:11" x14ac:dyDescent="0.25">
      <c r="A165" s="439"/>
      <c r="B165" s="427" t="s">
        <v>434</v>
      </c>
      <c r="C165" s="427" t="s">
        <v>368</v>
      </c>
      <c r="D165" s="426"/>
      <c r="E165" s="428" t="s">
        <v>369</v>
      </c>
      <c r="F165" s="429">
        <v>1760000</v>
      </c>
      <c r="G165" s="429">
        <v>0</v>
      </c>
      <c r="H165" s="429">
        <f>[2]Nov!I183</f>
        <v>1100000</v>
      </c>
      <c r="I165" s="429">
        <f t="shared" si="52"/>
        <v>1100000</v>
      </c>
      <c r="J165" s="429">
        <f t="shared" si="53"/>
        <v>660000</v>
      </c>
      <c r="K165" s="426"/>
    </row>
    <row r="166" spans="1:11" x14ac:dyDescent="0.25">
      <c r="A166" s="440"/>
      <c r="B166" s="423" t="s">
        <v>434</v>
      </c>
      <c r="C166" s="423" t="s">
        <v>370</v>
      </c>
      <c r="D166" s="422"/>
      <c r="E166" s="424" t="s">
        <v>81</v>
      </c>
      <c r="F166" s="425">
        <f>SUM(F167)</f>
        <v>4200000</v>
      </c>
      <c r="G166" s="425">
        <f>SUM(G167)</f>
        <v>0</v>
      </c>
      <c r="H166" s="425">
        <f>SUM(H167)</f>
        <v>4200000</v>
      </c>
      <c r="I166" s="425">
        <f>SUM(I167)</f>
        <v>4200000</v>
      </c>
      <c r="J166" s="425">
        <f>SUM(J167)</f>
        <v>0</v>
      </c>
      <c r="K166" s="422"/>
    </row>
    <row r="167" spans="1:11" x14ac:dyDescent="0.25">
      <c r="A167" s="450"/>
      <c r="B167" s="451" t="s">
        <v>434</v>
      </c>
      <c r="C167" s="451" t="s">
        <v>436</v>
      </c>
      <c r="D167" s="452"/>
      <c r="E167" s="453" t="s">
        <v>437</v>
      </c>
      <c r="F167" s="454">
        <v>4200000</v>
      </c>
      <c r="G167" s="454">
        <v>0</v>
      </c>
      <c r="H167" s="429">
        <f>[2]Nov!I185</f>
        <v>4200000</v>
      </c>
      <c r="I167" s="454">
        <f t="shared" ref="I167" si="54">G167+H167</f>
        <v>4200000</v>
      </c>
      <c r="J167" s="454">
        <f t="shared" ref="J167" si="55">F167-I167</f>
        <v>0</v>
      </c>
      <c r="K167" s="452"/>
    </row>
    <row r="168" spans="1:11" x14ac:dyDescent="0.25">
      <c r="A168" s="439"/>
      <c r="B168" s="427"/>
      <c r="C168" s="427"/>
      <c r="D168" s="426"/>
      <c r="E168" s="428"/>
      <c r="F168" s="429"/>
      <c r="G168" s="429"/>
      <c r="H168" s="429"/>
      <c r="I168" s="429"/>
      <c r="J168" s="429"/>
      <c r="K168" s="426"/>
    </row>
    <row r="169" spans="1:11" ht="25.5" x14ac:dyDescent="0.25">
      <c r="A169" s="455"/>
      <c r="B169" s="460" t="s">
        <v>438</v>
      </c>
      <c r="C169" s="455"/>
      <c r="D169" s="457"/>
      <c r="E169" s="461" t="s">
        <v>439</v>
      </c>
      <c r="F169" s="462">
        <f t="shared" ref="F169:J170" si="56">F170</f>
        <v>1452500</v>
      </c>
      <c r="G169" s="462">
        <f t="shared" si="56"/>
        <v>350000</v>
      </c>
      <c r="H169" s="462">
        <f t="shared" si="56"/>
        <v>1102500</v>
      </c>
      <c r="I169" s="462">
        <f t="shared" si="56"/>
        <v>1452500</v>
      </c>
      <c r="J169" s="462">
        <f t="shared" si="56"/>
        <v>0</v>
      </c>
      <c r="K169" s="457"/>
    </row>
    <row r="170" spans="1:11" x14ac:dyDescent="0.25">
      <c r="A170" s="438"/>
      <c r="B170" s="419" t="s">
        <v>438</v>
      </c>
      <c r="C170" s="419" t="s">
        <v>359</v>
      </c>
      <c r="D170" s="418"/>
      <c r="E170" s="420" t="s">
        <v>67</v>
      </c>
      <c r="F170" s="421">
        <f t="shared" si="56"/>
        <v>1452500</v>
      </c>
      <c r="G170" s="421">
        <f t="shared" si="56"/>
        <v>350000</v>
      </c>
      <c r="H170" s="421">
        <f t="shared" si="56"/>
        <v>1102500</v>
      </c>
      <c r="I170" s="421">
        <f t="shared" si="56"/>
        <v>1452500</v>
      </c>
      <c r="J170" s="421">
        <f t="shared" si="56"/>
        <v>0</v>
      </c>
      <c r="K170" s="418"/>
    </row>
    <row r="171" spans="1:11" x14ac:dyDescent="0.25">
      <c r="A171" s="440"/>
      <c r="B171" s="423" t="s">
        <v>438</v>
      </c>
      <c r="C171" s="423" t="s">
        <v>360</v>
      </c>
      <c r="D171" s="422"/>
      <c r="E171" s="424" t="s">
        <v>361</v>
      </c>
      <c r="F171" s="425">
        <f>SUM(F172:F173)</f>
        <v>1452500</v>
      </c>
      <c r="G171" s="425">
        <f>SUM(G172:G173)</f>
        <v>350000</v>
      </c>
      <c r="H171" s="425">
        <f>SUM(H172:H173)</f>
        <v>1102500</v>
      </c>
      <c r="I171" s="425">
        <f>SUM(I172:I173)</f>
        <v>1452500</v>
      </c>
      <c r="J171" s="425">
        <f>SUM(J172:J173)</f>
        <v>0</v>
      </c>
      <c r="K171" s="422"/>
    </row>
    <row r="172" spans="1:11" x14ac:dyDescent="0.25">
      <c r="A172" s="439"/>
      <c r="B172" s="427" t="s">
        <v>438</v>
      </c>
      <c r="C172" s="427" t="s">
        <v>362</v>
      </c>
      <c r="D172" s="426"/>
      <c r="E172" s="428" t="s">
        <v>363</v>
      </c>
      <c r="F172" s="429">
        <v>550000</v>
      </c>
      <c r="G172" s="429">
        <v>150000</v>
      </c>
      <c r="H172" s="429">
        <f>[2]Nov!I190</f>
        <v>400000</v>
      </c>
      <c r="I172" s="429">
        <f t="shared" ref="I172:I173" si="57">G172+H172</f>
        <v>550000</v>
      </c>
      <c r="J172" s="429">
        <f t="shared" ref="J172:J173" si="58">F172-I172</f>
        <v>0</v>
      </c>
      <c r="K172" s="426"/>
    </row>
    <row r="173" spans="1:11" x14ac:dyDescent="0.25">
      <c r="A173" s="439"/>
      <c r="B173" s="427" t="s">
        <v>438</v>
      </c>
      <c r="C173" s="427" t="s">
        <v>366</v>
      </c>
      <c r="D173" s="426"/>
      <c r="E173" s="428" t="s">
        <v>367</v>
      </c>
      <c r="F173" s="429">
        <v>902500</v>
      </c>
      <c r="G173" s="429">
        <v>200000</v>
      </c>
      <c r="H173" s="429">
        <f>[2]Nov!I191</f>
        <v>702500</v>
      </c>
      <c r="I173" s="429">
        <f t="shared" si="57"/>
        <v>902500</v>
      </c>
      <c r="J173" s="429">
        <f t="shared" si="58"/>
        <v>0</v>
      </c>
      <c r="K173" s="426"/>
    </row>
    <row r="174" spans="1:11" x14ac:dyDescent="0.25">
      <c r="A174" s="439"/>
      <c r="B174" s="427"/>
      <c r="C174" s="427"/>
      <c r="D174" s="426"/>
      <c r="E174" s="428"/>
      <c r="F174" s="429"/>
      <c r="G174" s="429"/>
      <c r="H174" s="429"/>
      <c r="I174" s="429"/>
      <c r="J174" s="429"/>
      <c r="K174" s="426"/>
    </row>
    <row r="175" spans="1:11" ht="25.5" x14ac:dyDescent="0.25">
      <c r="A175" s="438"/>
      <c r="B175" s="449" t="s">
        <v>440</v>
      </c>
      <c r="C175" s="438"/>
      <c r="D175" s="418"/>
      <c r="E175" s="442" t="s">
        <v>441</v>
      </c>
      <c r="F175" s="443">
        <f t="shared" ref="F175:J176" si="59">F176</f>
        <v>260000</v>
      </c>
      <c r="G175" s="443">
        <f t="shared" si="59"/>
        <v>260000</v>
      </c>
      <c r="H175" s="443">
        <f t="shared" si="59"/>
        <v>0</v>
      </c>
      <c r="I175" s="443">
        <f t="shared" si="59"/>
        <v>260000</v>
      </c>
      <c r="J175" s="443">
        <f t="shared" si="59"/>
        <v>0</v>
      </c>
      <c r="K175" s="418"/>
    </row>
    <row r="176" spans="1:11" x14ac:dyDescent="0.25">
      <c r="A176" s="438"/>
      <c r="B176" s="419" t="s">
        <v>440</v>
      </c>
      <c r="C176" s="419" t="s">
        <v>359</v>
      </c>
      <c r="D176" s="418"/>
      <c r="E176" s="420" t="s">
        <v>67</v>
      </c>
      <c r="F176" s="421">
        <f t="shared" si="59"/>
        <v>260000</v>
      </c>
      <c r="G176" s="421">
        <f t="shared" si="59"/>
        <v>260000</v>
      </c>
      <c r="H176" s="421">
        <f t="shared" si="59"/>
        <v>0</v>
      </c>
      <c r="I176" s="421">
        <f t="shared" si="59"/>
        <v>260000</v>
      </c>
      <c r="J176" s="421">
        <f t="shared" si="59"/>
        <v>0</v>
      </c>
      <c r="K176" s="418"/>
    </row>
    <row r="177" spans="1:11" x14ac:dyDescent="0.25">
      <c r="A177" s="440"/>
      <c r="B177" s="423" t="s">
        <v>440</v>
      </c>
      <c r="C177" s="423" t="s">
        <v>360</v>
      </c>
      <c r="D177" s="422"/>
      <c r="E177" s="424" t="s">
        <v>361</v>
      </c>
      <c r="F177" s="425">
        <f>SUM(F178:F179)</f>
        <v>260000</v>
      </c>
      <c r="G177" s="425">
        <f>SUM(G178:G179)</f>
        <v>260000</v>
      </c>
      <c r="H177" s="425">
        <f>SUM(H178:H179)</f>
        <v>0</v>
      </c>
      <c r="I177" s="425">
        <f>SUM(I178:I179)</f>
        <v>260000</v>
      </c>
      <c r="J177" s="425">
        <f>SUM(J178:J179)</f>
        <v>0</v>
      </c>
      <c r="K177" s="422"/>
    </row>
    <row r="178" spans="1:11" x14ac:dyDescent="0.25">
      <c r="A178" s="439"/>
      <c r="B178" s="427" t="s">
        <v>440</v>
      </c>
      <c r="C178" s="427" t="s">
        <v>362</v>
      </c>
      <c r="D178" s="426"/>
      <c r="E178" s="428" t="s">
        <v>363</v>
      </c>
      <c r="F178" s="429">
        <v>110000</v>
      </c>
      <c r="G178" s="429">
        <v>110000</v>
      </c>
      <c r="H178" s="429">
        <f>[2]Nov!I196</f>
        <v>0</v>
      </c>
      <c r="I178" s="429">
        <f t="shared" ref="I178:I179" si="60">G178+H178</f>
        <v>110000</v>
      </c>
      <c r="J178" s="429">
        <f t="shared" ref="J178:J179" si="61">F178-I178</f>
        <v>0</v>
      </c>
      <c r="K178" s="426"/>
    </row>
    <row r="179" spans="1:11" x14ac:dyDescent="0.25">
      <c r="A179" s="439"/>
      <c r="B179" s="427" t="s">
        <v>440</v>
      </c>
      <c r="C179" s="427" t="s">
        <v>366</v>
      </c>
      <c r="D179" s="426"/>
      <c r="E179" s="428" t="s">
        <v>367</v>
      </c>
      <c r="F179" s="429">
        <v>150000</v>
      </c>
      <c r="G179" s="429">
        <v>150000</v>
      </c>
      <c r="H179" s="429">
        <f>[2]Nov!I197</f>
        <v>0</v>
      </c>
      <c r="I179" s="429">
        <f t="shared" si="60"/>
        <v>150000</v>
      </c>
      <c r="J179" s="429">
        <f t="shared" si="61"/>
        <v>0</v>
      </c>
      <c r="K179" s="426"/>
    </row>
    <row r="180" spans="1:11" x14ac:dyDescent="0.25">
      <c r="A180" s="439"/>
      <c r="B180" s="427"/>
      <c r="C180" s="427"/>
      <c r="D180" s="426"/>
      <c r="E180" s="428"/>
      <c r="F180" s="429"/>
      <c r="G180" s="429"/>
      <c r="H180" s="429"/>
      <c r="I180" s="429"/>
      <c r="J180" s="429"/>
      <c r="K180" s="426"/>
    </row>
    <row r="181" spans="1:11" ht="38.25" x14ac:dyDescent="0.25">
      <c r="A181" s="438"/>
      <c r="B181" s="449" t="s">
        <v>442</v>
      </c>
      <c r="C181" s="438"/>
      <c r="D181" s="418"/>
      <c r="E181" s="442" t="s">
        <v>443</v>
      </c>
      <c r="F181" s="443">
        <f t="shared" ref="F181:J182" si="62">F182</f>
        <v>160000</v>
      </c>
      <c r="G181" s="443">
        <f t="shared" si="62"/>
        <v>0</v>
      </c>
      <c r="H181" s="443">
        <f t="shared" si="62"/>
        <v>160000</v>
      </c>
      <c r="I181" s="443">
        <f t="shared" si="62"/>
        <v>160000</v>
      </c>
      <c r="J181" s="443">
        <f t="shared" si="62"/>
        <v>0</v>
      </c>
      <c r="K181" s="418"/>
    </row>
    <row r="182" spans="1:11" x14ac:dyDescent="0.25">
      <c r="A182" s="438"/>
      <c r="B182" s="419" t="s">
        <v>442</v>
      </c>
      <c r="C182" s="419" t="s">
        <v>359</v>
      </c>
      <c r="D182" s="418"/>
      <c r="E182" s="420" t="s">
        <v>67</v>
      </c>
      <c r="F182" s="421">
        <f t="shared" si="62"/>
        <v>160000</v>
      </c>
      <c r="G182" s="421">
        <f t="shared" si="62"/>
        <v>0</v>
      </c>
      <c r="H182" s="421">
        <f t="shared" si="62"/>
        <v>160000</v>
      </c>
      <c r="I182" s="421">
        <f t="shared" si="62"/>
        <v>160000</v>
      </c>
      <c r="J182" s="421">
        <f t="shared" si="62"/>
        <v>0</v>
      </c>
      <c r="K182" s="418"/>
    </row>
    <row r="183" spans="1:11" x14ac:dyDescent="0.25">
      <c r="A183" s="440"/>
      <c r="B183" s="423" t="s">
        <v>442</v>
      </c>
      <c r="C183" s="423" t="s">
        <v>360</v>
      </c>
      <c r="D183" s="422"/>
      <c r="E183" s="424" t="s">
        <v>361</v>
      </c>
      <c r="F183" s="425">
        <f>SUM(F184:F185)</f>
        <v>160000</v>
      </c>
      <c r="G183" s="425">
        <f>SUM(G184:G185)</f>
        <v>0</v>
      </c>
      <c r="H183" s="425">
        <f>SUM(H184:H185)</f>
        <v>160000</v>
      </c>
      <c r="I183" s="425">
        <f>SUM(I184:I185)</f>
        <v>160000</v>
      </c>
      <c r="J183" s="425">
        <f>SUM(J184:J185)</f>
        <v>0</v>
      </c>
      <c r="K183" s="422"/>
    </row>
    <row r="184" spans="1:11" x14ac:dyDescent="0.25">
      <c r="A184" s="439"/>
      <c r="B184" s="427" t="s">
        <v>442</v>
      </c>
      <c r="C184" s="427" t="s">
        <v>362</v>
      </c>
      <c r="D184" s="426"/>
      <c r="E184" s="428" t="s">
        <v>363</v>
      </c>
      <c r="F184" s="429">
        <v>60000</v>
      </c>
      <c r="G184" s="429">
        <v>0</v>
      </c>
      <c r="H184" s="429">
        <f>[2]Nov!I202</f>
        <v>60000</v>
      </c>
      <c r="I184" s="429">
        <f t="shared" ref="I184:I185" si="63">G184+H184</f>
        <v>60000</v>
      </c>
      <c r="J184" s="429">
        <f t="shared" ref="J184:J185" si="64">F184-I184</f>
        <v>0</v>
      </c>
      <c r="K184" s="426"/>
    </row>
    <row r="185" spans="1:11" x14ac:dyDescent="0.25">
      <c r="A185" s="439"/>
      <c r="B185" s="427" t="s">
        <v>442</v>
      </c>
      <c r="C185" s="427" t="s">
        <v>366</v>
      </c>
      <c r="D185" s="426"/>
      <c r="E185" s="428" t="s">
        <v>367</v>
      </c>
      <c r="F185" s="429">
        <v>100000</v>
      </c>
      <c r="G185" s="429">
        <v>0</v>
      </c>
      <c r="H185" s="429">
        <f>[2]Nov!I203</f>
        <v>100000</v>
      </c>
      <c r="I185" s="429">
        <f t="shared" si="63"/>
        <v>100000</v>
      </c>
      <c r="J185" s="429">
        <f t="shared" si="64"/>
        <v>0</v>
      </c>
      <c r="K185" s="426"/>
    </row>
    <row r="186" spans="1:11" x14ac:dyDescent="0.25">
      <c r="A186" s="439"/>
      <c r="B186" s="427"/>
      <c r="C186" s="427"/>
      <c r="D186" s="426"/>
      <c r="E186" s="428"/>
      <c r="F186" s="429"/>
      <c r="G186" s="429"/>
      <c r="H186" s="429"/>
      <c r="I186" s="429"/>
      <c r="J186" s="429"/>
      <c r="K186" s="426"/>
    </row>
    <row r="187" spans="1:11" x14ac:dyDescent="0.25">
      <c r="A187" s="438"/>
      <c r="B187" s="419" t="s">
        <v>444</v>
      </c>
      <c r="C187" s="438"/>
      <c r="D187" s="418"/>
      <c r="E187" s="420" t="s">
        <v>445</v>
      </c>
      <c r="F187" s="421">
        <f>F188+F191</f>
        <v>24500000</v>
      </c>
      <c r="G187" s="421">
        <f>G188+G191</f>
        <v>22471550</v>
      </c>
      <c r="H187" s="421">
        <f>H188+H191</f>
        <v>1250000</v>
      </c>
      <c r="I187" s="421">
        <f>I188+I191</f>
        <v>23721550</v>
      </c>
      <c r="J187" s="421">
        <f>J188+J191</f>
        <v>778450</v>
      </c>
      <c r="K187" s="418"/>
    </row>
    <row r="188" spans="1:11" x14ac:dyDescent="0.25">
      <c r="A188" s="438"/>
      <c r="B188" s="419" t="s">
        <v>444</v>
      </c>
      <c r="C188" s="419" t="s">
        <v>359</v>
      </c>
      <c r="D188" s="418"/>
      <c r="E188" s="420" t="s">
        <v>67</v>
      </c>
      <c r="F188" s="421">
        <f>F189</f>
        <v>2000000</v>
      </c>
      <c r="G188" s="421">
        <f>G189</f>
        <v>750000</v>
      </c>
      <c r="H188" s="421">
        <f>H189</f>
        <v>1250000</v>
      </c>
      <c r="I188" s="421">
        <f>I189</f>
        <v>2000000</v>
      </c>
      <c r="J188" s="421">
        <f>J189</f>
        <v>0</v>
      </c>
      <c r="K188" s="418"/>
    </row>
    <row r="189" spans="1:11" x14ac:dyDescent="0.25">
      <c r="A189" s="440"/>
      <c r="B189" s="423" t="s">
        <v>444</v>
      </c>
      <c r="C189" s="423" t="s">
        <v>370</v>
      </c>
      <c r="D189" s="422"/>
      <c r="E189" s="424" t="s">
        <v>81</v>
      </c>
      <c r="F189" s="425">
        <f>SUM(F190)</f>
        <v>2000000</v>
      </c>
      <c r="G189" s="425">
        <f>SUM(G190)</f>
        <v>750000</v>
      </c>
      <c r="H189" s="425">
        <f>SUM(H190)</f>
        <v>1250000</v>
      </c>
      <c r="I189" s="425">
        <f>SUM(I190)</f>
        <v>2000000</v>
      </c>
      <c r="J189" s="425">
        <f>SUM(J190)</f>
        <v>0</v>
      </c>
      <c r="K189" s="422"/>
    </row>
    <row r="190" spans="1:11" x14ac:dyDescent="0.25">
      <c r="A190" s="439"/>
      <c r="B190" s="427" t="s">
        <v>444</v>
      </c>
      <c r="C190" s="427" t="s">
        <v>446</v>
      </c>
      <c r="D190" s="426"/>
      <c r="E190" s="428" t="s">
        <v>447</v>
      </c>
      <c r="F190" s="429">
        <v>2000000</v>
      </c>
      <c r="G190" s="429">
        <v>750000</v>
      </c>
      <c r="H190" s="429">
        <f>[2]Nov!I208</f>
        <v>1250000</v>
      </c>
      <c r="I190" s="429">
        <f t="shared" ref="I190" si="65">G190+H190</f>
        <v>2000000</v>
      </c>
      <c r="J190" s="429">
        <f t="shared" ref="J190" si="66">F190-I190</f>
        <v>0</v>
      </c>
      <c r="K190" s="426"/>
    </row>
    <row r="191" spans="1:11" x14ac:dyDescent="0.25">
      <c r="A191" s="438"/>
      <c r="B191" s="419" t="s">
        <v>444</v>
      </c>
      <c r="C191" s="419" t="s">
        <v>404</v>
      </c>
      <c r="D191" s="418"/>
      <c r="E191" s="420" t="s">
        <v>68</v>
      </c>
      <c r="F191" s="421">
        <f>F192</f>
        <v>22500000</v>
      </c>
      <c r="G191" s="421">
        <f>G192</f>
        <v>21721550</v>
      </c>
      <c r="H191" s="421">
        <f>H192</f>
        <v>0</v>
      </c>
      <c r="I191" s="421">
        <f>I192</f>
        <v>21721550</v>
      </c>
      <c r="J191" s="421">
        <f>J192</f>
        <v>778450</v>
      </c>
      <c r="K191" s="418"/>
    </row>
    <row r="192" spans="1:11" x14ac:dyDescent="0.25">
      <c r="A192" s="440"/>
      <c r="B192" s="423" t="s">
        <v>444</v>
      </c>
      <c r="C192" s="423" t="s">
        <v>448</v>
      </c>
      <c r="D192" s="422"/>
      <c r="E192" s="424" t="s">
        <v>89</v>
      </c>
      <c r="F192" s="425">
        <f>SUM(F193)</f>
        <v>22500000</v>
      </c>
      <c r="G192" s="425">
        <f>SUM(G193)</f>
        <v>21721550</v>
      </c>
      <c r="H192" s="425">
        <f>SUM(H193)</f>
        <v>0</v>
      </c>
      <c r="I192" s="425">
        <f>SUM(I193)</f>
        <v>21721550</v>
      </c>
      <c r="J192" s="425">
        <f>SUM(J193)</f>
        <v>778450</v>
      </c>
      <c r="K192" s="422"/>
    </row>
    <row r="193" spans="1:11" x14ac:dyDescent="0.25">
      <c r="A193" s="439"/>
      <c r="B193" s="427" t="s">
        <v>444</v>
      </c>
      <c r="C193" s="427" t="s">
        <v>449</v>
      </c>
      <c r="D193" s="426"/>
      <c r="E193" s="428" t="s">
        <v>450</v>
      </c>
      <c r="F193" s="429">
        <v>22500000</v>
      </c>
      <c r="G193" s="429">
        <f>22500000-778450</f>
        <v>21721550</v>
      </c>
      <c r="H193" s="429">
        <f>[2]Nov!I211</f>
        <v>0</v>
      </c>
      <c r="I193" s="429">
        <f t="shared" ref="I193" si="67">G193+H193</f>
        <v>21721550</v>
      </c>
      <c r="J193" s="429">
        <f t="shared" ref="J193" si="68">F193-I193</f>
        <v>778450</v>
      </c>
      <c r="K193" s="426"/>
    </row>
    <row r="194" spans="1:11" x14ac:dyDescent="0.25">
      <c r="A194" s="439"/>
      <c r="B194" s="427"/>
      <c r="C194" s="427"/>
      <c r="D194" s="426"/>
      <c r="E194" s="428"/>
      <c r="F194" s="429"/>
      <c r="G194" s="429"/>
      <c r="H194" s="429"/>
      <c r="I194" s="429"/>
      <c r="J194" s="429"/>
      <c r="K194" s="426"/>
    </row>
    <row r="195" spans="1:11" x14ac:dyDescent="0.25">
      <c r="A195" s="438"/>
      <c r="B195" s="419" t="s">
        <v>451</v>
      </c>
      <c r="C195" s="438"/>
      <c r="D195" s="418"/>
      <c r="E195" s="420" t="s">
        <v>452</v>
      </c>
      <c r="F195" s="421">
        <f t="shared" ref="F195:J196" si="69">F196</f>
        <v>1955000</v>
      </c>
      <c r="G195" s="421">
        <f t="shared" si="69"/>
        <v>551500</v>
      </c>
      <c r="H195" s="421">
        <f t="shared" si="69"/>
        <v>1403500</v>
      </c>
      <c r="I195" s="421">
        <f t="shared" si="69"/>
        <v>1955000</v>
      </c>
      <c r="J195" s="421">
        <f t="shared" si="69"/>
        <v>0</v>
      </c>
      <c r="K195" s="418"/>
    </row>
    <row r="196" spans="1:11" x14ac:dyDescent="0.25">
      <c r="A196" s="438"/>
      <c r="B196" s="419" t="s">
        <v>451</v>
      </c>
      <c r="C196" s="419" t="s">
        <v>359</v>
      </c>
      <c r="D196" s="418"/>
      <c r="E196" s="420" t="s">
        <v>67</v>
      </c>
      <c r="F196" s="421">
        <f t="shared" si="69"/>
        <v>1955000</v>
      </c>
      <c r="G196" s="421">
        <f t="shared" si="69"/>
        <v>551500</v>
      </c>
      <c r="H196" s="421">
        <f t="shared" si="69"/>
        <v>1403500</v>
      </c>
      <c r="I196" s="421">
        <f t="shared" si="69"/>
        <v>1955000</v>
      </c>
      <c r="J196" s="421">
        <f t="shared" si="69"/>
        <v>0</v>
      </c>
      <c r="K196" s="418"/>
    </row>
    <row r="197" spans="1:11" x14ac:dyDescent="0.25">
      <c r="A197" s="440"/>
      <c r="B197" s="423" t="s">
        <v>451</v>
      </c>
      <c r="C197" s="423" t="s">
        <v>360</v>
      </c>
      <c r="D197" s="422"/>
      <c r="E197" s="424" t="s">
        <v>361</v>
      </c>
      <c r="F197" s="425">
        <f>SUM(F198:F199)</f>
        <v>1955000</v>
      </c>
      <c r="G197" s="425">
        <f>SUM(G198:G199)</f>
        <v>551500</v>
      </c>
      <c r="H197" s="425">
        <f>SUM(H198:H199)</f>
        <v>1403500</v>
      </c>
      <c r="I197" s="425">
        <f>SUM(I198:I199)</f>
        <v>1955000</v>
      </c>
      <c r="J197" s="425">
        <f>SUM(J198:J199)</f>
        <v>0</v>
      </c>
      <c r="K197" s="422"/>
    </row>
    <row r="198" spans="1:11" x14ac:dyDescent="0.25">
      <c r="A198" s="439"/>
      <c r="B198" s="427" t="s">
        <v>451</v>
      </c>
      <c r="C198" s="427" t="s">
        <v>362</v>
      </c>
      <c r="D198" s="426"/>
      <c r="E198" s="428" t="s">
        <v>363</v>
      </c>
      <c r="F198" s="429">
        <v>660000</v>
      </c>
      <c r="G198" s="429">
        <v>180000</v>
      </c>
      <c r="H198" s="429">
        <f>[2]Nov!I216</f>
        <v>480000</v>
      </c>
      <c r="I198" s="429">
        <f t="shared" ref="I198:I199" si="70">G198+H198</f>
        <v>660000</v>
      </c>
      <c r="J198" s="429">
        <f t="shared" ref="J198:J199" si="71">F198-I198</f>
        <v>0</v>
      </c>
      <c r="K198" s="426"/>
    </row>
    <row r="199" spans="1:11" x14ac:dyDescent="0.25">
      <c r="A199" s="439"/>
      <c r="B199" s="427" t="s">
        <v>451</v>
      </c>
      <c r="C199" s="427" t="s">
        <v>366</v>
      </c>
      <c r="D199" s="426"/>
      <c r="E199" s="428" t="s">
        <v>367</v>
      </c>
      <c r="F199" s="429">
        <v>1295000</v>
      </c>
      <c r="G199" s="429">
        <v>371500</v>
      </c>
      <c r="H199" s="429">
        <f>[2]Nov!I217</f>
        <v>923500</v>
      </c>
      <c r="I199" s="429">
        <f t="shared" si="70"/>
        <v>1295000</v>
      </c>
      <c r="J199" s="429">
        <f t="shared" si="71"/>
        <v>0</v>
      </c>
      <c r="K199" s="426"/>
    </row>
    <row r="200" spans="1:11" x14ac:dyDescent="0.25">
      <c r="A200" s="439"/>
      <c r="B200" s="427"/>
      <c r="C200" s="427"/>
      <c r="D200" s="426"/>
      <c r="E200" s="428"/>
      <c r="F200" s="429"/>
      <c r="G200" s="429"/>
      <c r="H200" s="429"/>
      <c r="I200" s="429"/>
      <c r="J200" s="429"/>
      <c r="K200" s="426"/>
    </row>
    <row r="201" spans="1:11" x14ac:dyDescent="0.25">
      <c r="A201" s="438"/>
      <c r="B201" s="419" t="s">
        <v>453</v>
      </c>
      <c r="C201" s="438"/>
      <c r="D201" s="418"/>
      <c r="E201" s="420" t="s">
        <v>454</v>
      </c>
      <c r="F201" s="421">
        <f>F202</f>
        <v>485000</v>
      </c>
      <c r="G201" s="421">
        <f>G202</f>
        <v>0</v>
      </c>
      <c r="H201" s="421">
        <f>H202</f>
        <v>485000</v>
      </c>
      <c r="I201" s="421">
        <f>I202</f>
        <v>485000</v>
      </c>
      <c r="J201" s="421">
        <f>J202</f>
        <v>0</v>
      </c>
      <c r="K201" s="418"/>
    </row>
    <row r="202" spans="1:11" x14ac:dyDescent="0.25">
      <c r="A202" s="438"/>
      <c r="B202" s="419" t="s">
        <v>453</v>
      </c>
      <c r="C202" s="419" t="s">
        <v>359</v>
      </c>
      <c r="D202" s="418"/>
      <c r="E202" s="420" t="s">
        <v>67</v>
      </c>
      <c r="F202" s="421">
        <f>F203+F207+F210</f>
        <v>485000</v>
      </c>
      <c r="G202" s="421">
        <f>G203+G207+G210</f>
        <v>0</v>
      </c>
      <c r="H202" s="421">
        <f>H203+H207+H210</f>
        <v>485000</v>
      </c>
      <c r="I202" s="421">
        <f>I203+I207+I210</f>
        <v>485000</v>
      </c>
      <c r="J202" s="421">
        <f>J203+J207+J210</f>
        <v>0</v>
      </c>
      <c r="K202" s="418"/>
    </row>
    <row r="203" spans="1:11" x14ac:dyDescent="0.25">
      <c r="A203" s="440"/>
      <c r="B203" s="423" t="s">
        <v>453</v>
      </c>
      <c r="C203" s="423" t="s">
        <v>360</v>
      </c>
      <c r="D203" s="422"/>
      <c r="E203" s="424" t="s">
        <v>361</v>
      </c>
      <c r="F203" s="425">
        <f>SUM(F204:F206)</f>
        <v>485000</v>
      </c>
      <c r="G203" s="425">
        <f>SUM(G204:G206)</f>
        <v>0</v>
      </c>
      <c r="H203" s="425">
        <f>SUM(H204:H206)</f>
        <v>485000</v>
      </c>
      <c r="I203" s="425">
        <f>SUM(I204:I206)</f>
        <v>485000</v>
      </c>
      <c r="J203" s="425">
        <f>SUM(J204:J206)</f>
        <v>0</v>
      </c>
      <c r="K203" s="422"/>
    </row>
    <row r="204" spans="1:11" x14ac:dyDescent="0.25">
      <c r="A204" s="439"/>
      <c r="B204" s="427" t="s">
        <v>453</v>
      </c>
      <c r="C204" s="427" t="s">
        <v>362</v>
      </c>
      <c r="D204" s="426"/>
      <c r="E204" s="428" t="s">
        <v>363</v>
      </c>
      <c r="F204" s="429">
        <v>185000</v>
      </c>
      <c r="G204" s="429">
        <v>0</v>
      </c>
      <c r="H204" s="429">
        <f>[2]Nov!I224</f>
        <v>185000</v>
      </c>
      <c r="I204" s="429">
        <f t="shared" ref="I204:I206" si="72">G204+H204</f>
        <v>185000</v>
      </c>
      <c r="J204" s="429">
        <f t="shared" ref="J204:J206" si="73">F204-I204</f>
        <v>0</v>
      </c>
      <c r="K204" s="426"/>
    </row>
    <row r="205" spans="1:11" x14ac:dyDescent="0.25">
      <c r="A205" s="439"/>
      <c r="B205" s="427" t="s">
        <v>453</v>
      </c>
      <c r="C205" s="427" t="s">
        <v>366</v>
      </c>
      <c r="D205" s="426"/>
      <c r="E205" s="428" t="s">
        <v>367</v>
      </c>
      <c r="F205" s="429">
        <v>0</v>
      </c>
      <c r="G205" s="429">
        <v>0</v>
      </c>
      <c r="H205" s="429">
        <f>[2]Nov!I225</f>
        <v>0</v>
      </c>
      <c r="I205" s="429">
        <f t="shared" si="72"/>
        <v>0</v>
      </c>
      <c r="J205" s="429">
        <f t="shared" si="73"/>
        <v>0</v>
      </c>
      <c r="K205" s="426"/>
    </row>
    <row r="206" spans="1:11" x14ac:dyDescent="0.25">
      <c r="A206" s="450"/>
      <c r="B206" s="451" t="s">
        <v>453</v>
      </c>
      <c r="C206" s="451" t="s">
        <v>368</v>
      </c>
      <c r="D206" s="452"/>
      <c r="E206" s="453" t="s">
        <v>369</v>
      </c>
      <c r="F206" s="454">
        <v>300000</v>
      </c>
      <c r="G206" s="454">
        <v>0</v>
      </c>
      <c r="H206" s="429">
        <f>[2]Nov!I226</f>
        <v>300000</v>
      </c>
      <c r="I206" s="454">
        <f t="shared" si="72"/>
        <v>300000</v>
      </c>
      <c r="J206" s="454">
        <f t="shared" si="73"/>
        <v>0</v>
      </c>
      <c r="K206" s="452"/>
    </row>
    <row r="207" spans="1:11" x14ac:dyDescent="0.25">
      <c r="A207" s="440"/>
      <c r="B207" s="423" t="s">
        <v>453</v>
      </c>
      <c r="C207" s="423" t="s">
        <v>370</v>
      </c>
      <c r="D207" s="422"/>
      <c r="E207" s="424" t="s">
        <v>81</v>
      </c>
      <c r="F207" s="425">
        <f>SUM(F208:F209)</f>
        <v>0</v>
      </c>
      <c r="G207" s="425">
        <f>SUM(G208:G209)</f>
        <v>0</v>
      </c>
      <c r="H207" s="425">
        <f>SUM(H208:H209)</f>
        <v>0</v>
      </c>
      <c r="I207" s="425">
        <f>SUM(I208:I209)</f>
        <v>0</v>
      </c>
      <c r="J207" s="425">
        <f>SUM(J208:J209)</f>
        <v>0</v>
      </c>
      <c r="K207" s="422"/>
    </row>
    <row r="208" spans="1:11" x14ac:dyDescent="0.25">
      <c r="A208" s="439"/>
      <c r="B208" s="427" t="s">
        <v>453</v>
      </c>
      <c r="C208" s="427" t="s">
        <v>436</v>
      </c>
      <c r="D208" s="426"/>
      <c r="E208" s="428" t="s">
        <v>437</v>
      </c>
      <c r="F208" s="429">
        <v>0</v>
      </c>
      <c r="G208" s="429">
        <v>0</v>
      </c>
      <c r="H208" s="429">
        <f>[2]Nov!I228</f>
        <v>0</v>
      </c>
      <c r="I208" s="429">
        <f t="shared" ref="I208:I209" si="74">G208+H208</f>
        <v>0</v>
      </c>
      <c r="J208" s="429">
        <f t="shared" ref="J208:J209" si="75">F208-I208</f>
        <v>0</v>
      </c>
      <c r="K208" s="426"/>
    </row>
    <row r="209" spans="1:11" x14ac:dyDescent="0.25">
      <c r="A209" s="439"/>
      <c r="B209" s="427" t="s">
        <v>453</v>
      </c>
      <c r="C209" s="427" t="s">
        <v>422</v>
      </c>
      <c r="D209" s="426"/>
      <c r="E209" s="428" t="s">
        <v>423</v>
      </c>
      <c r="F209" s="429">
        <v>0</v>
      </c>
      <c r="G209" s="429">
        <v>0</v>
      </c>
      <c r="H209" s="429">
        <f>[2]Nov!I229</f>
        <v>0</v>
      </c>
      <c r="I209" s="429">
        <f t="shared" si="74"/>
        <v>0</v>
      </c>
      <c r="J209" s="429">
        <f t="shared" si="75"/>
        <v>0</v>
      </c>
      <c r="K209" s="426"/>
    </row>
    <row r="210" spans="1:11" x14ac:dyDescent="0.25">
      <c r="A210" s="440"/>
      <c r="B210" s="423" t="s">
        <v>453</v>
      </c>
      <c r="C210" s="423" t="s">
        <v>455</v>
      </c>
      <c r="D210" s="422"/>
      <c r="E210" s="424" t="s">
        <v>83</v>
      </c>
      <c r="F210" s="425">
        <f>SUM(F211)</f>
        <v>0</v>
      </c>
      <c r="G210" s="425">
        <f>SUM(G211)</f>
        <v>0</v>
      </c>
      <c r="H210" s="425">
        <f>SUM(H211)</f>
        <v>0</v>
      </c>
      <c r="I210" s="425">
        <f>SUM(I211)</f>
        <v>0</v>
      </c>
      <c r="J210" s="425">
        <f>SUM(J211)</f>
        <v>0</v>
      </c>
      <c r="K210" s="422"/>
    </row>
    <row r="211" spans="1:11" x14ac:dyDescent="0.25">
      <c r="A211" s="439"/>
      <c r="B211" s="427" t="s">
        <v>453</v>
      </c>
      <c r="C211" s="427" t="s">
        <v>456</v>
      </c>
      <c r="D211" s="426"/>
      <c r="E211" s="428" t="s">
        <v>457</v>
      </c>
      <c r="F211" s="429">
        <v>0</v>
      </c>
      <c r="G211" s="429">
        <v>0</v>
      </c>
      <c r="H211" s="429">
        <f>[2]Nov!I231</f>
        <v>0</v>
      </c>
      <c r="I211" s="429">
        <f t="shared" ref="I211" si="76">G211+H211</f>
        <v>0</v>
      </c>
      <c r="J211" s="429">
        <f t="shared" ref="J211" si="77">F211-I211</f>
        <v>0</v>
      </c>
      <c r="K211" s="426"/>
    </row>
    <row r="212" spans="1:11" x14ac:dyDescent="0.25">
      <c r="A212" s="439"/>
      <c r="B212" s="427"/>
      <c r="C212" s="427"/>
      <c r="D212" s="426"/>
      <c r="E212" s="428"/>
      <c r="F212" s="429"/>
      <c r="G212" s="429"/>
      <c r="H212" s="429"/>
      <c r="I212" s="429"/>
      <c r="J212" s="429"/>
      <c r="K212" s="426"/>
    </row>
    <row r="213" spans="1:11" x14ac:dyDescent="0.25">
      <c r="A213" s="438"/>
      <c r="B213" s="419" t="s">
        <v>458</v>
      </c>
      <c r="C213" s="438"/>
      <c r="D213" s="418"/>
      <c r="E213" s="420" t="s">
        <v>459</v>
      </c>
      <c r="F213" s="421">
        <f t="shared" ref="F213:J214" si="78">F214</f>
        <v>27636000</v>
      </c>
      <c r="G213" s="421">
        <f t="shared" si="78"/>
        <v>6820000</v>
      </c>
      <c r="H213" s="421">
        <f t="shared" si="78"/>
        <v>20816000</v>
      </c>
      <c r="I213" s="421">
        <f t="shared" si="78"/>
        <v>27636000</v>
      </c>
      <c r="J213" s="421">
        <f t="shared" si="78"/>
        <v>0</v>
      </c>
      <c r="K213" s="418"/>
    </row>
    <row r="214" spans="1:11" x14ac:dyDescent="0.25">
      <c r="A214" s="438"/>
      <c r="B214" s="419" t="s">
        <v>458</v>
      </c>
      <c r="C214" s="419" t="s">
        <v>359</v>
      </c>
      <c r="D214" s="418"/>
      <c r="E214" s="420" t="s">
        <v>67</v>
      </c>
      <c r="F214" s="421">
        <f t="shared" si="78"/>
        <v>27636000</v>
      </c>
      <c r="G214" s="421">
        <f t="shared" si="78"/>
        <v>6820000</v>
      </c>
      <c r="H214" s="421">
        <f t="shared" si="78"/>
        <v>20816000</v>
      </c>
      <c r="I214" s="421">
        <f t="shared" si="78"/>
        <v>27636000</v>
      </c>
      <c r="J214" s="421">
        <f t="shared" si="78"/>
        <v>0</v>
      </c>
      <c r="K214" s="418"/>
    </row>
    <row r="215" spans="1:11" x14ac:dyDescent="0.25">
      <c r="A215" s="440"/>
      <c r="B215" s="423" t="s">
        <v>458</v>
      </c>
      <c r="C215" s="423" t="s">
        <v>460</v>
      </c>
      <c r="D215" s="422"/>
      <c r="E215" s="424" t="s">
        <v>461</v>
      </c>
      <c r="F215" s="425">
        <f>SUM(F216)</f>
        <v>27636000</v>
      </c>
      <c r="G215" s="425">
        <f>SUM(G216)</f>
        <v>6820000</v>
      </c>
      <c r="H215" s="425">
        <f>SUM(H216)</f>
        <v>20816000</v>
      </c>
      <c r="I215" s="425">
        <f>SUM(I216)</f>
        <v>27636000</v>
      </c>
      <c r="J215" s="425">
        <f>SUM(J216)</f>
        <v>0</v>
      </c>
      <c r="K215" s="422"/>
    </row>
    <row r="216" spans="1:11" x14ac:dyDescent="0.25">
      <c r="A216" s="439"/>
      <c r="B216" s="427" t="s">
        <v>458</v>
      </c>
      <c r="C216" s="427" t="s">
        <v>462</v>
      </c>
      <c r="D216" s="426"/>
      <c r="E216" s="428" t="s">
        <v>463</v>
      </c>
      <c r="F216" s="429">
        <v>27636000</v>
      </c>
      <c r="G216" s="429">
        <v>6820000</v>
      </c>
      <c r="H216" s="429">
        <f>[2]Nov!I236</f>
        <v>20816000</v>
      </c>
      <c r="I216" s="429">
        <f t="shared" ref="I216" si="79">G216+H216</f>
        <v>27636000</v>
      </c>
      <c r="J216" s="429">
        <f t="shared" ref="J216" si="80">F216-I216</f>
        <v>0</v>
      </c>
      <c r="K216" s="426"/>
    </row>
    <row r="217" spans="1:11" x14ac:dyDescent="0.25">
      <c r="A217" s="439"/>
      <c r="B217" s="427"/>
      <c r="C217" s="427"/>
      <c r="D217" s="426"/>
      <c r="E217" s="428"/>
      <c r="F217" s="429"/>
      <c r="G217" s="429"/>
      <c r="H217" s="429"/>
      <c r="I217" s="429"/>
      <c r="J217" s="429"/>
      <c r="K217" s="426"/>
    </row>
    <row r="218" spans="1:11" x14ac:dyDescent="0.25">
      <c r="A218" s="438"/>
      <c r="B218" s="419" t="s">
        <v>464</v>
      </c>
      <c r="C218" s="438"/>
      <c r="D218" s="420" t="s">
        <v>98</v>
      </c>
      <c r="E218" s="418"/>
      <c r="F218" s="421">
        <f>F219+F236</f>
        <v>57705000</v>
      </c>
      <c r="G218" s="421">
        <f>G219+G236</f>
        <v>8120000</v>
      </c>
      <c r="H218" s="421">
        <f>H219+H236</f>
        <v>47468074</v>
      </c>
      <c r="I218" s="421">
        <f>I219+I236</f>
        <v>55588074</v>
      </c>
      <c r="J218" s="421">
        <f>J219+J236</f>
        <v>2116926</v>
      </c>
      <c r="K218" s="418"/>
    </row>
    <row r="219" spans="1:11" x14ac:dyDescent="0.25">
      <c r="A219" s="438"/>
      <c r="B219" s="419" t="s">
        <v>465</v>
      </c>
      <c r="C219" s="438"/>
      <c r="D219" s="418"/>
      <c r="E219" s="420" t="s">
        <v>466</v>
      </c>
      <c r="F219" s="421">
        <f>F220</f>
        <v>53775000</v>
      </c>
      <c r="G219" s="421">
        <f>G220</f>
        <v>8120000</v>
      </c>
      <c r="H219" s="421">
        <f>H220</f>
        <v>43655000</v>
      </c>
      <c r="I219" s="421">
        <f>I220</f>
        <v>51775000</v>
      </c>
      <c r="J219" s="421">
        <f>J220</f>
        <v>2000000</v>
      </c>
      <c r="K219" s="418"/>
    </row>
    <row r="220" spans="1:11" x14ac:dyDescent="0.25">
      <c r="A220" s="438"/>
      <c r="B220" s="419" t="s">
        <v>465</v>
      </c>
      <c r="C220" s="419" t="s">
        <v>359</v>
      </c>
      <c r="D220" s="418"/>
      <c r="E220" s="420" t="s">
        <v>67</v>
      </c>
      <c r="F220" s="421">
        <f>F221+F225+F228+F230+F233</f>
        <v>53775000</v>
      </c>
      <c r="G220" s="421">
        <f>G221+G225+G228+G230+G233</f>
        <v>8120000</v>
      </c>
      <c r="H220" s="421">
        <f>H221+H225+H228+H230+H233</f>
        <v>43655000</v>
      </c>
      <c r="I220" s="421">
        <f>I221+I225+I228+I230+I233</f>
        <v>51775000</v>
      </c>
      <c r="J220" s="421">
        <f>J221+J225+J228+J230+J233</f>
        <v>2000000</v>
      </c>
      <c r="K220" s="418"/>
    </row>
    <row r="221" spans="1:11" x14ac:dyDescent="0.25">
      <c r="A221" s="440"/>
      <c r="B221" s="423" t="s">
        <v>465</v>
      </c>
      <c r="C221" s="423" t="s">
        <v>360</v>
      </c>
      <c r="D221" s="422"/>
      <c r="E221" s="424" t="s">
        <v>361</v>
      </c>
      <c r="F221" s="425">
        <f>SUM(F222:F224)</f>
        <v>16355000</v>
      </c>
      <c r="G221" s="425">
        <f>SUM(G222:G224)</f>
        <v>4620000</v>
      </c>
      <c r="H221" s="425">
        <f>SUM(H222:H224)</f>
        <v>9735000</v>
      </c>
      <c r="I221" s="425">
        <f>SUM(I222:I224)</f>
        <v>14355000</v>
      </c>
      <c r="J221" s="425">
        <f>SUM(J222:J224)</f>
        <v>2000000</v>
      </c>
      <c r="K221" s="422"/>
    </row>
    <row r="222" spans="1:11" x14ac:dyDescent="0.25">
      <c r="A222" s="439"/>
      <c r="B222" s="427" t="s">
        <v>465</v>
      </c>
      <c r="C222" s="427" t="s">
        <v>362</v>
      </c>
      <c r="D222" s="426"/>
      <c r="E222" s="428" t="s">
        <v>363</v>
      </c>
      <c r="F222" s="429">
        <v>2178000</v>
      </c>
      <c r="G222" s="429">
        <v>0</v>
      </c>
      <c r="H222" s="429">
        <f>[2]Nov!I242</f>
        <v>2178000</v>
      </c>
      <c r="I222" s="429">
        <f t="shared" ref="I222:I224" si="81">G222+H222</f>
        <v>2178000</v>
      </c>
      <c r="J222" s="429">
        <f t="shared" ref="J222:J224" si="82">F222-I222</f>
        <v>0</v>
      </c>
      <c r="K222" s="426"/>
    </row>
    <row r="223" spans="1:11" x14ac:dyDescent="0.25">
      <c r="A223" s="439"/>
      <c r="B223" s="427" t="s">
        <v>465</v>
      </c>
      <c r="C223" s="427" t="s">
        <v>366</v>
      </c>
      <c r="D223" s="426"/>
      <c r="E223" s="428" t="s">
        <v>367</v>
      </c>
      <c r="F223" s="429">
        <v>492000</v>
      </c>
      <c r="G223" s="429">
        <v>0</v>
      </c>
      <c r="H223" s="429">
        <f>[2]Nov!I243</f>
        <v>492000</v>
      </c>
      <c r="I223" s="429">
        <f t="shared" si="81"/>
        <v>492000</v>
      </c>
      <c r="J223" s="429">
        <f t="shared" si="82"/>
        <v>0</v>
      </c>
      <c r="K223" s="426"/>
    </row>
    <row r="224" spans="1:11" x14ac:dyDescent="0.25">
      <c r="A224" s="439"/>
      <c r="B224" s="427" t="s">
        <v>465</v>
      </c>
      <c r="C224" s="427" t="s">
        <v>368</v>
      </c>
      <c r="D224" s="426"/>
      <c r="E224" s="428" t="s">
        <v>369</v>
      </c>
      <c r="F224" s="429">
        <v>13685000</v>
      </c>
      <c r="G224" s="429">
        <f>3060000+1560000</f>
        <v>4620000</v>
      </c>
      <c r="H224" s="429">
        <f>[2]Nov!I244</f>
        <v>7065000</v>
      </c>
      <c r="I224" s="429">
        <f t="shared" si="81"/>
        <v>11685000</v>
      </c>
      <c r="J224" s="429">
        <f t="shared" si="82"/>
        <v>2000000</v>
      </c>
      <c r="K224" s="426"/>
    </row>
    <row r="225" spans="1:11" x14ac:dyDescent="0.25">
      <c r="A225" s="440"/>
      <c r="B225" s="423" t="s">
        <v>465</v>
      </c>
      <c r="C225" s="423" t="s">
        <v>370</v>
      </c>
      <c r="D225" s="422"/>
      <c r="E225" s="424" t="s">
        <v>81</v>
      </c>
      <c r="F225" s="425">
        <f>SUM(F226:F227)</f>
        <v>22530000</v>
      </c>
      <c r="G225" s="425">
        <f>SUM(G226:G227)</f>
        <v>0</v>
      </c>
      <c r="H225" s="425">
        <f>SUM(H226:H227)</f>
        <v>22530000</v>
      </c>
      <c r="I225" s="425">
        <f>SUM(I226:I227)</f>
        <v>22530000</v>
      </c>
      <c r="J225" s="425">
        <f>SUM(J226:J227)</f>
        <v>0</v>
      </c>
      <c r="K225" s="422"/>
    </row>
    <row r="226" spans="1:11" x14ac:dyDescent="0.25">
      <c r="A226" s="439"/>
      <c r="B226" s="427" t="s">
        <v>465</v>
      </c>
      <c r="C226" s="427" t="s">
        <v>436</v>
      </c>
      <c r="D226" s="426"/>
      <c r="E226" s="428" t="s">
        <v>437</v>
      </c>
      <c r="F226" s="429">
        <v>1950000</v>
      </c>
      <c r="G226" s="429">
        <v>0</v>
      </c>
      <c r="H226" s="429">
        <f>[2]Nov!I246</f>
        <v>1950000</v>
      </c>
      <c r="I226" s="429">
        <f t="shared" ref="I226:I227" si="83">G226+H226</f>
        <v>1950000</v>
      </c>
      <c r="J226" s="429">
        <f t="shared" ref="J226:J227" si="84">F226-I226</f>
        <v>0</v>
      </c>
      <c r="K226" s="426"/>
    </row>
    <row r="227" spans="1:11" x14ac:dyDescent="0.25">
      <c r="A227" s="439"/>
      <c r="B227" s="427" t="s">
        <v>465</v>
      </c>
      <c r="C227" s="427" t="s">
        <v>422</v>
      </c>
      <c r="D227" s="426"/>
      <c r="E227" s="428" t="s">
        <v>423</v>
      </c>
      <c r="F227" s="429">
        <v>20580000</v>
      </c>
      <c r="G227" s="429">
        <v>0</v>
      </c>
      <c r="H227" s="429">
        <f>[2]Nov!I247</f>
        <v>20580000</v>
      </c>
      <c r="I227" s="429">
        <f t="shared" si="83"/>
        <v>20580000</v>
      </c>
      <c r="J227" s="429">
        <f t="shared" si="84"/>
        <v>0</v>
      </c>
      <c r="K227" s="426"/>
    </row>
    <row r="228" spans="1:11" x14ac:dyDescent="0.25">
      <c r="A228" s="440"/>
      <c r="B228" s="423" t="s">
        <v>465</v>
      </c>
      <c r="C228" s="423" t="s">
        <v>373</v>
      </c>
      <c r="D228" s="422"/>
      <c r="E228" s="424" t="s">
        <v>145</v>
      </c>
      <c r="F228" s="425">
        <f>SUM(F229)</f>
        <v>800000</v>
      </c>
      <c r="G228" s="425">
        <f>SUM(G229)</f>
        <v>800000</v>
      </c>
      <c r="H228" s="425">
        <f>SUM(H229)</f>
        <v>0</v>
      </c>
      <c r="I228" s="425">
        <f>SUM(I229)</f>
        <v>800000</v>
      </c>
      <c r="J228" s="425">
        <f>SUM(J229)</f>
        <v>0</v>
      </c>
      <c r="K228" s="422"/>
    </row>
    <row r="229" spans="1:11" x14ac:dyDescent="0.25">
      <c r="A229" s="439"/>
      <c r="B229" s="427" t="s">
        <v>465</v>
      </c>
      <c r="C229" s="427" t="s">
        <v>374</v>
      </c>
      <c r="D229" s="426"/>
      <c r="E229" s="428" t="s">
        <v>375</v>
      </c>
      <c r="F229" s="429">
        <v>800000</v>
      </c>
      <c r="G229" s="429">
        <v>800000</v>
      </c>
      <c r="H229" s="429">
        <f>[2]Nov!I249</f>
        <v>0</v>
      </c>
      <c r="I229" s="429">
        <f t="shared" ref="I229" si="85">G229+H229</f>
        <v>800000</v>
      </c>
      <c r="J229" s="429">
        <f t="shared" ref="J229" si="86">F229-I229</f>
        <v>0</v>
      </c>
      <c r="K229" s="426"/>
    </row>
    <row r="230" spans="1:11" x14ac:dyDescent="0.25">
      <c r="A230" s="440"/>
      <c r="B230" s="423" t="s">
        <v>465</v>
      </c>
      <c r="C230" s="423" t="s">
        <v>455</v>
      </c>
      <c r="D230" s="422"/>
      <c r="E230" s="424" t="s">
        <v>83</v>
      </c>
      <c r="F230" s="425">
        <f>SUM(F231:F232)</f>
        <v>4700000</v>
      </c>
      <c r="G230" s="425">
        <f>SUM(G231:G232)</f>
        <v>2700000</v>
      </c>
      <c r="H230" s="425">
        <f>SUM(H231:H232)</f>
        <v>2000000</v>
      </c>
      <c r="I230" s="425">
        <f>SUM(I231:I232)</f>
        <v>4700000</v>
      </c>
      <c r="J230" s="425">
        <f>SUM(J231:J232)</f>
        <v>0</v>
      </c>
      <c r="K230" s="422"/>
    </row>
    <row r="231" spans="1:11" x14ac:dyDescent="0.25">
      <c r="A231" s="439"/>
      <c r="B231" s="427" t="s">
        <v>465</v>
      </c>
      <c r="C231" s="427" t="s">
        <v>456</v>
      </c>
      <c r="D231" s="426"/>
      <c r="E231" s="428" t="s">
        <v>457</v>
      </c>
      <c r="F231" s="429">
        <v>2700000</v>
      </c>
      <c r="G231" s="429">
        <v>2700000</v>
      </c>
      <c r="H231" s="429">
        <f>[2]Nov!I251</f>
        <v>0</v>
      </c>
      <c r="I231" s="429">
        <f t="shared" ref="I231:I232" si="87">G231+H231</f>
        <v>2700000</v>
      </c>
      <c r="J231" s="429">
        <f t="shared" ref="J231:J232" si="88">F231-I231</f>
        <v>0</v>
      </c>
      <c r="K231" s="426"/>
    </row>
    <row r="232" spans="1:11" x14ac:dyDescent="0.25">
      <c r="A232" s="439"/>
      <c r="B232" s="427" t="s">
        <v>465</v>
      </c>
      <c r="C232" s="427" t="s">
        <v>467</v>
      </c>
      <c r="D232" s="426"/>
      <c r="E232" s="428" t="s">
        <v>468</v>
      </c>
      <c r="F232" s="429">
        <v>2000000</v>
      </c>
      <c r="G232" s="429">
        <v>0</v>
      </c>
      <c r="H232" s="429">
        <f>[2]Nov!I252</f>
        <v>2000000</v>
      </c>
      <c r="I232" s="429">
        <f t="shared" si="87"/>
        <v>2000000</v>
      </c>
      <c r="J232" s="429">
        <f t="shared" si="88"/>
        <v>0</v>
      </c>
      <c r="K232" s="426"/>
    </row>
    <row r="233" spans="1:11" x14ac:dyDescent="0.25">
      <c r="A233" s="440"/>
      <c r="B233" s="423" t="s">
        <v>465</v>
      </c>
      <c r="C233" s="423" t="s">
        <v>460</v>
      </c>
      <c r="D233" s="422"/>
      <c r="E233" s="424" t="s">
        <v>461</v>
      </c>
      <c r="F233" s="425">
        <f>SUM(F234)</f>
        <v>9390000</v>
      </c>
      <c r="G233" s="425">
        <f>SUM(G234)</f>
        <v>0</v>
      </c>
      <c r="H233" s="425">
        <f>SUM(H234)</f>
        <v>9390000</v>
      </c>
      <c r="I233" s="425">
        <f>SUM(I234)</f>
        <v>9390000</v>
      </c>
      <c r="J233" s="425">
        <f>SUM(J234)</f>
        <v>0</v>
      </c>
      <c r="K233" s="422"/>
    </row>
    <row r="234" spans="1:11" x14ac:dyDescent="0.25">
      <c r="A234" s="450"/>
      <c r="B234" s="451" t="s">
        <v>465</v>
      </c>
      <c r="C234" s="451" t="s">
        <v>462</v>
      </c>
      <c r="D234" s="452"/>
      <c r="E234" s="453" t="s">
        <v>463</v>
      </c>
      <c r="F234" s="454">
        <v>9390000</v>
      </c>
      <c r="G234" s="454">
        <v>0</v>
      </c>
      <c r="H234" s="429">
        <f>[2]Nov!I254</f>
        <v>9390000</v>
      </c>
      <c r="I234" s="454">
        <f t="shared" ref="I234" si="89">G234+H234</f>
        <v>9390000</v>
      </c>
      <c r="J234" s="454">
        <f t="shared" ref="J234" si="90">F234-I234</f>
        <v>0</v>
      </c>
      <c r="K234" s="452"/>
    </row>
    <row r="235" spans="1:11" x14ac:dyDescent="0.25">
      <c r="A235" s="477"/>
      <c r="B235" s="478"/>
      <c r="C235" s="478"/>
      <c r="D235" s="479"/>
      <c r="E235" s="480"/>
      <c r="F235" s="481"/>
      <c r="G235" s="481"/>
      <c r="H235" s="482"/>
      <c r="I235" s="481"/>
      <c r="J235" s="481"/>
      <c r="K235" s="479"/>
    </row>
    <row r="236" spans="1:11" x14ac:dyDescent="0.25">
      <c r="A236" s="463"/>
      <c r="B236" s="415" t="s">
        <v>469</v>
      </c>
      <c r="C236" s="463"/>
      <c r="D236" s="414"/>
      <c r="E236" s="416" t="s">
        <v>470</v>
      </c>
      <c r="F236" s="448">
        <f>F237</f>
        <v>3930000</v>
      </c>
      <c r="G236" s="448">
        <f>G237</f>
        <v>0</v>
      </c>
      <c r="H236" s="448">
        <f>H237</f>
        <v>3813074</v>
      </c>
      <c r="I236" s="448">
        <f>I237</f>
        <v>3813074</v>
      </c>
      <c r="J236" s="448">
        <f>J237</f>
        <v>116926</v>
      </c>
      <c r="K236" s="414"/>
    </row>
    <row r="237" spans="1:11" x14ac:dyDescent="0.25">
      <c r="A237" s="438"/>
      <c r="B237" s="419" t="s">
        <v>469</v>
      </c>
      <c r="C237" s="419" t="s">
        <v>359</v>
      </c>
      <c r="D237" s="418"/>
      <c r="E237" s="420" t="s">
        <v>67</v>
      </c>
      <c r="F237" s="421">
        <f>F238+F240+F242</f>
        <v>3930000</v>
      </c>
      <c r="G237" s="421">
        <f>G238+G240+G242</f>
        <v>0</v>
      </c>
      <c r="H237" s="421">
        <f>H238+H240+H242</f>
        <v>3813074</v>
      </c>
      <c r="I237" s="421">
        <f>I238+I240+I242</f>
        <v>3813074</v>
      </c>
      <c r="J237" s="421">
        <f>J238+J240+J242</f>
        <v>116926</v>
      </c>
      <c r="K237" s="418"/>
    </row>
    <row r="238" spans="1:11" x14ac:dyDescent="0.25">
      <c r="A238" s="440"/>
      <c r="B238" s="423" t="s">
        <v>469</v>
      </c>
      <c r="C238" s="423" t="s">
        <v>360</v>
      </c>
      <c r="D238" s="422"/>
      <c r="E238" s="424" t="s">
        <v>361</v>
      </c>
      <c r="F238" s="425">
        <f>SUM(F239)</f>
        <v>180000</v>
      </c>
      <c r="G238" s="425">
        <f>SUM(G239)</f>
        <v>0</v>
      </c>
      <c r="H238" s="425">
        <f>SUM(H239)</f>
        <v>180000</v>
      </c>
      <c r="I238" s="425">
        <f>SUM(I239)</f>
        <v>180000</v>
      </c>
      <c r="J238" s="425">
        <f>SUM(J239)</f>
        <v>0</v>
      </c>
      <c r="K238" s="422"/>
    </row>
    <row r="239" spans="1:11" x14ac:dyDescent="0.25">
      <c r="A239" s="439"/>
      <c r="B239" s="427" t="s">
        <v>469</v>
      </c>
      <c r="C239" s="427" t="s">
        <v>368</v>
      </c>
      <c r="D239" s="426"/>
      <c r="E239" s="428" t="s">
        <v>369</v>
      </c>
      <c r="F239" s="429">
        <v>180000</v>
      </c>
      <c r="G239" s="429">
        <v>0</v>
      </c>
      <c r="H239" s="429">
        <f>[2]Nov!I264</f>
        <v>180000</v>
      </c>
      <c r="I239" s="429">
        <f t="shared" ref="I239" si="91">G239+H239</f>
        <v>180000</v>
      </c>
      <c r="J239" s="429">
        <f t="shared" ref="J239" si="92">F239-I239</f>
        <v>0</v>
      </c>
      <c r="K239" s="426"/>
    </row>
    <row r="240" spans="1:11" x14ac:dyDescent="0.25">
      <c r="A240" s="440"/>
      <c r="B240" s="423" t="s">
        <v>469</v>
      </c>
      <c r="C240" s="423" t="s">
        <v>370</v>
      </c>
      <c r="D240" s="422"/>
      <c r="E240" s="424" t="s">
        <v>81</v>
      </c>
      <c r="F240" s="425">
        <f>SUM(F241)</f>
        <v>450000</v>
      </c>
      <c r="G240" s="425">
        <f>SUM(G241)</f>
        <v>0</v>
      </c>
      <c r="H240" s="425">
        <f>SUM(H241)</f>
        <v>450000</v>
      </c>
      <c r="I240" s="425">
        <f>SUM(I241)</f>
        <v>450000</v>
      </c>
      <c r="J240" s="425">
        <f>SUM(J241)</f>
        <v>0</v>
      </c>
      <c r="K240" s="422"/>
    </row>
    <row r="241" spans="1:11" x14ac:dyDescent="0.25">
      <c r="A241" s="439"/>
      <c r="B241" s="427" t="s">
        <v>469</v>
      </c>
      <c r="C241" s="427" t="s">
        <v>436</v>
      </c>
      <c r="D241" s="426"/>
      <c r="E241" s="428" t="s">
        <v>437</v>
      </c>
      <c r="F241" s="429">
        <v>450000</v>
      </c>
      <c r="G241" s="429">
        <v>0</v>
      </c>
      <c r="H241" s="429">
        <f>[2]Nov!I266</f>
        <v>450000</v>
      </c>
      <c r="I241" s="429">
        <f t="shared" ref="I241" si="93">G241+H241</f>
        <v>450000</v>
      </c>
      <c r="J241" s="429">
        <f t="shared" ref="J241" si="94">F241-I241</f>
        <v>0</v>
      </c>
      <c r="K241" s="426"/>
    </row>
    <row r="242" spans="1:11" x14ac:dyDescent="0.25">
      <c r="A242" s="440"/>
      <c r="B242" s="423" t="s">
        <v>469</v>
      </c>
      <c r="C242" s="423" t="s">
        <v>378</v>
      </c>
      <c r="D242" s="422"/>
      <c r="E242" s="424" t="s">
        <v>78</v>
      </c>
      <c r="F242" s="425">
        <f>SUM(F243)</f>
        <v>3300000</v>
      </c>
      <c r="G242" s="425">
        <f>SUM(G243)</f>
        <v>0</v>
      </c>
      <c r="H242" s="425">
        <f>SUM(H243)</f>
        <v>3183074</v>
      </c>
      <c r="I242" s="425">
        <f>SUM(I243)</f>
        <v>3183074</v>
      </c>
      <c r="J242" s="425">
        <f>SUM(J243)</f>
        <v>116926</v>
      </c>
      <c r="K242" s="422"/>
    </row>
    <row r="243" spans="1:11" x14ac:dyDescent="0.25">
      <c r="A243" s="439"/>
      <c r="B243" s="427" t="s">
        <v>469</v>
      </c>
      <c r="C243" s="427" t="s">
        <v>385</v>
      </c>
      <c r="D243" s="426"/>
      <c r="E243" s="428" t="s">
        <v>386</v>
      </c>
      <c r="F243" s="429">
        <v>3300000</v>
      </c>
      <c r="G243" s="429">
        <v>0</v>
      </c>
      <c r="H243" s="429">
        <f>[2]Nov!I268</f>
        <v>3183074</v>
      </c>
      <c r="I243" s="429">
        <f t="shared" ref="I243" si="95">G243+H243</f>
        <v>3183074</v>
      </c>
      <c r="J243" s="429">
        <f t="shared" ref="J243" si="96">F243-I243</f>
        <v>116926</v>
      </c>
      <c r="K243" s="426"/>
    </row>
    <row r="244" spans="1:11" x14ac:dyDescent="0.25">
      <c r="A244" s="439"/>
      <c r="B244" s="427"/>
      <c r="C244" s="427"/>
      <c r="D244" s="426"/>
      <c r="E244" s="428"/>
      <c r="F244" s="429"/>
      <c r="G244" s="429"/>
      <c r="H244" s="429"/>
      <c r="I244" s="429"/>
      <c r="J244" s="429"/>
      <c r="K244" s="426"/>
    </row>
    <row r="245" spans="1:11" x14ac:dyDescent="0.25">
      <c r="A245" s="455"/>
      <c r="B245" s="456">
        <v>2</v>
      </c>
      <c r="C245" s="455"/>
      <c r="D245" s="458" t="s">
        <v>471</v>
      </c>
      <c r="E245" s="457"/>
      <c r="F245" s="459">
        <f>F246+F282+F370+F432+F455</f>
        <v>901315842</v>
      </c>
      <c r="G245" s="459">
        <f>G246+G282+G370+G432+G455</f>
        <v>182567150</v>
      </c>
      <c r="H245" s="459">
        <f>H246+H282+H370+H432+H455</f>
        <v>414747450</v>
      </c>
      <c r="I245" s="459">
        <f>I246+I282+I370+I432+I455</f>
        <v>597314600</v>
      </c>
      <c r="J245" s="459">
        <f>J246+J282+J370+J432+J455</f>
        <v>304001242</v>
      </c>
      <c r="K245" s="457"/>
    </row>
    <row r="246" spans="1:11" x14ac:dyDescent="0.25">
      <c r="A246" s="438"/>
      <c r="B246" s="419" t="s">
        <v>472</v>
      </c>
      <c r="C246" s="438"/>
      <c r="D246" s="420" t="s">
        <v>473</v>
      </c>
      <c r="E246" s="418"/>
      <c r="F246" s="421">
        <f>F247+F259+F269</f>
        <v>105845500</v>
      </c>
      <c r="G246" s="421">
        <f>G247+G259+G269</f>
        <v>52294450</v>
      </c>
      <c r="H246" s="421">
        <f>H247+H259+H269</f>
        <v>35997500</v>
      </c>
      <c r="I246" s="421">
        <f>I247+I259+I269</f>
        <v>88291950</v>
      </c>
      <c r="J246" s="421">
        <f>J247+J259+J269</f>
        <v>17553550</v>
      </c>
      <c r="K246" s="418"/>
    </row>
    <row r="247" spans="1:11" ht="38.25" x14ac:dyDescent="0.25">
      <c r="A247" s="438"/>
      <c r="B247" s="449" t="s">
        <v>474</v>
      </c>
      <c r="C247" s="438"/>
      <c r="D247" s="418"/>
      <c r="E247" s="442" t="s">
        <v>475</v>
      </c>
      <c r="F247" s="443">
        <f>F248</f>
        <v>13358000</v>
      </c>
      <c r="G247" s="443">
        <f>G248</f>
        <v>600000</v>
      </c>
      <c r="H247" s="443">
        <f>H248</f>
        <v>7494000</v>
      </c>
      <c r="I247" s="443">
        <f>I248</f>
        <v>8094000</v>
      </c>
      <c r="J247" s="443">
        <f>J248</f>
        <v>5264000</v>
      </c>
      <c r="K247" s="418"/>
    </row>
    <row r="248" spans="1:11" x14ac:dyDescent="0.25">
      <c r="A248" s="438"/>
      <c r="B248" s="419" t="s">
        <v>474</v>
      </c>
      <c r="C248" s="419" t="s">
        <v>359</v>
      </c>
      <c r="D248" s="418"/>
      <c r="E248" s="420" t="s">
        <v>67</v>
      </c>
      <c r="F248" s="421">
        <f>F249+F252+F256</f>
        <v>13358000</v>
      </c>
      <c r="G248" s="421">
        <f>G249+G252+G256</f>
        <v>600000</v>
      </c>
      <c r="H248" s="421">
        <f>H249+H252+H256</f>
        <v>7494000</v>
      </c>
      <c r="I248" s="421">
        <f>I249+I252+I256</f>
        <v>8094000</v>
      </c>
      <c r="J248" s="421">
        <f>J249+J252+J256</f>
        <v>5264000</v>
      </c>
      <c r="K248" s="418"/>
    </row>
    <row r="249" spans="1:11" x14ac:dyDescent="0.25">
      <c r="A249" s="440"/>
      <c r="B249" s="423" t="s">
        <v>474</v>
      </c>
      <c r="C249" s="423" t="s">
        <v>360</v>
      </c>
      <c r="D249" s="422"/>
      <c r="E249" s="424" t="s">
        <v>361</v>
      </c>
      <c r="F249" s="425">
        <f>SUM(F250:F251)</f>
        <v>854000</v>
      </c>
      <c r="G249" s="425">
        <f>SUM(G250:G251)</f>
        <v>0</v>
      </c>
      <c r="H249" s="425">
        <f>SUM(H250:H251)</f>
        <v>0</v>
      </c>
      <c r="I249" s="425">
        <f>SUM(I250:I251)</f>
        <v>0</v>
      </c>
      <c r="J249" s="425">
        <f>SUM(J250:J251)</f>
        <v>854000</v>
      </c>
      <c r="K249" s="422"/>
    </row>
    <row r="250" spans="1:11" x14ac:dyDescent="0.25">
      <c r="A250" s="439"/>
      <c r="B250" s="427" t="s">
        <v>474</v>
      </c>
      <c r="C250" s="427" t="s">
        <v>366</v>
      </c>
      <c r="D250" s="426"/>
      <c r="E250" s="428" t="s">
        <v>367</v>
      </c>
      <c r="F250" s="429">
        <v>54000</v>
      </c>
      <c r="G250" s="429">
        <v>0</v>
      </c>
      <c r="H250" s="429">
        <f>[2]Nov!I275</f>
        <v>0</v>
      </c>
      <c r="I250" s="429">
        <f t="shared" ref="I250:I251" si="97">G250+H250</f>
        <v>0</v>
      </c>
      <c r="J250" s="429">
        <f t="shared" ref="J250:J251" si="98">F250-I250</f>
        <v>54000</v>
      </c>
      <c r="K250" s="426"/>
    </row>
    <row r="251" spans="1:11" x14ac:dyDescent="0.25">
      <c r="A251" s="439"/>
      <c r="B251" s="427" t="s">
        <v>474</v>
      </c>
      <c r="C251" s="427" t="s">
        <v>368</v>
      </c>
      <c r="D251" s="426"/>
      <c r="E251" s="428" t="s">
        <v>369</v>
      </c>
      <c r="F251" s="429">
        <v>800000</v>
      </c>
      <c r="G251" s="429">
        <v>0</v>
      </c>
      <c r="H251" s="429">
        <f>[2]Nov!I276</f>
        <v>0</v>
      </c>
      <c r="I251" s="429">
        <f t="shared" si="97"/>
        <v>0</v>
      </c>
      <c r="J251" s="429">
        <f t="shared" si="98"/>
        <v>800000</v>
      </c>
      <c r="K251" s="426"/>
    </row>
    <row r="252" spans="1:11" x14ac:dyDescent="0.25">
      <c r="A252" s="440"/>
      <c r="B252" s="423" t="s">
        <v>474</v>
      </c>
      <c r="C252" s="423" t="s">
        <v>370</v>
      </c>
      <c r="D252" s="422"/>
      <c r="E252" s="424" t="s">
        <v>81</v>
      </c>
      <c r="F252" s="425">
        <f>SUM(F253:F255)</f>
        <v>10710000</v>
      </c>
      <c r="G252" s="425">
        <f>SUM(G253:G255)</f>
        <v>600000</v>
      </c>
      <c r="H252" s="425">
        <f>SUM(H253:H255)</f>
        <v>5700000</v>
      </c>
      <c r="I252" s="425">
        <f>SUM(I253:I255)</f>
        <v>6300000</v>
      </c>
      <c r="J252" s="425">
        <f>SUM(J253:J255)</f>
        <v>4410000</v>
      </c>
      <c r="K252" s="422"/>
    </row>
    <row r="253" spans="1:11" x14ac:dyDescent="0.25">
      <c r="A253" s="439"/>
      <c r="B253" s="427" t="s">
        <v>474</v>
      </c>
      <c r="C253" s="427" t="s">
        <v>476</v>
      </c>
      <c r="D253" s="426"/>
      <c r="E253" s="428" t="s">
        <v>477</v>
      </c>
      <c r="F253" s="429">
        <v>900000</v>
      </c>
      <c r="G253" s="429">
        <v>0</v>
      </c>
      <c r="H253" s="429">
        <f>[2]Nov!I278</f>
        <v>0</v>
      </c>
      <c r="I253" s="429">
        <f t="shared" ref="I253:I255" si="99">G253+H253</f>
        <v>0</v>
      </c>
      <c r="J253" s="429">
        <f t="shared" ref="J253:J255" si="100">F253-I253</f>
        <v>900000</v>
      </c>
      <c r="K253" s="426"/>
    </row>
    <row r="254" spans="1:11" x14ac:dyDescent="0.25">
      <c r="A254" s="439"/>
      <c r="B254" s="427" t="s">
        <v>474</v>
      </c>
      <c r="C254" s="427" t="s">
        <v>478</v>
      </c>
      <c r="D254" s="426"/>
      <c r="E254" s="428" t="s">
        <v>479</v>
      </c>
      <c r="F254" s="429">
        <v>510000</v>
      </c>
      <c r="G254" s="429">
        <v>0</v>
      </c>
      <c r="H254" s="429">
        <f>[2]Nov!I279</f>
        <v>0</v>
      </c>
      <c r="I254" s="429">
        <f t="shared" si="99"/>
        <v>0</v>
      </c>
      <c r="J254" s="429">
        <f t="shared" si="100"/>
        <v>510000</v>
      </c>
      <c r="K254" s="426"/>
    </row>
    <row r="255" spans="1:11" x14ac:dyDescent="0.25">
      <c r="A255" s="439"/>
      <c r="B255" s="427" t="s">
        <v>474</v>
      </c>
      <c r="C255" s="427" t="s">
        <v>398</v>
      </c>
      <c r="D255" s="426"/>
      <c r="E255" s="428" t="s">
        <v>399</v>
      </c>
      <c r="F255" s="429">
        <v>9300000</v>
      </c>
      <c r="G255" s="429">
        <v>600000</v>
      </c>
      <c r="H255" s="429">
        <f>[2]Nov!I280</f>
        <v>5700000</v>
      </c>
      <c r="I255" s="429">
        <f t="shared" si="99"/>
        <v>6300000</v>
      </c>
      <c r="J255" s="429">
        <f t="shared" si="100"/>
        <v>3000000</v>
      </c>
      <c r="K255" s="426"/>
    </row>
    <row r="256" spans="1:11" x14ac:dyDescent="0.25">
      <c r="A256" s="440"/>
      <c r="B256" s="423" t="s">
        <v>474</v>
      </c>
      <c r="C256" s="423" t="s">
        <v>460</v>
      </c>
      <c r="D256" s="422"/>
      <c r="E256" s="424" t="s">
        <v>461</v>
      </c>
      <c r="F256" s="425">
        <f>SUM(F257)</f>
        <v>1794000</v>
      </c>
      <c r="G256" s="425">
        <f>SUM(G257)</f>
        <v>0</v>
      </c>
      <c r="H256" s="425">
        <f>SUM(H257)</f>
        <v>1794000</v>
      </c>
      <c r="I256" s="425">
        <f>SUM(I257)</f>
        <v>1794000</v>
      </c>
      <c r="J256" s="425">
        <f>SUM(J257)</f>
        <v>0</v>
      </c>
      <c r="K256" s="422"/>
    </row>
    <row r="257" spans="1:11" x14ac:dyDescent="0.25">
      <c r="A257" s="439"/>
      <c r="B257" s="427" t="s">
        <v>474</v>
      </c>
      <c r="C257" s="427" t="s">
        <v>462</v>
      </c>
      <c r="D257" s="426"/>
      <c r="E257" s="428" t="s">
        <v>463</v>
      </c>
      <c r="F257" s="429">
        <v>1794000</v>
      </c>
      <c r="G257" s="429">
        <v>0</v>
      </c>
      <c r="H257" s="429">
        <f>[2]Nov!I282</f>
        <v>1794000</v>
      </c>
      <c r="I257" s="429">
        <f t="shared" ref="I257" si="101">G257+H257</f>
        <v>1794000</v>
      </c>
      <c r="J257" s="429">
        <f t="shared" ref="J257" si="102">F257-I257</f>
        <v>0</v>
      </c>
      <c r="K257" s="426"/>
    </row>
    <row r="258" spans="1:11" x14ac:dyDescent="0.25">
      <c r="A258" s="439"/>
      <c r="B258" s="427"/>
      <c r="C258" s="427"/>
      <c r="D258" s="426"/>
      <c r="E258" s="428"/>
      <c r="F258" s="429"/>
      <c r="G258" s="429"/>
      <c r="H258" s="429"/>
      <c r="I258" s="429"/>
      <c r="J258" s="429"/>
      <c r="K258" s="426"/>
    </row>
    <row r="259" spans="1:11" ht="38.25" x14ac:dyDescent="0.25">
      <c r="A259" s="438"/>
      <c r="B259" s="449" t="s">
        <v>480</v>
      </c>
      <c r="C259" s="438"/>
      <c r="D259" s="418"/>
      <c r="E259" s="442" t="s">
        <v>481</v>
      </c>
      <c r="F259" s="443">
        <f>F260</f>
        <v>3120000</v>
      </c>
      <c r="G259" s="443">
        <f>G260</f>
        <v>2862500</v>
      </c>
      <c r="H259" s="443">
        <f>H260</f>
        <v>227500</v>
      </c>
      <c r="I259" s="443">
        <f>I260</f>
        <v>3090000</v>
      </c>
      <c r="J259" s="443">
        <f>J260</f>
        <v>30000</v>
      </c>
      <c r="K259" s="418"/>
    </row>
    <row r="260" spans="1:11" x14ac:dyDescent="0.25">
      <c r="A260" s="438"/>
      <c r="B260" s="419" t="s">
        <v>480</v>
      </c>
      <c r="C260" s="419" t="s">
        <v>359</v>
      </c>
      <c r="D260" s="418"/>
      <c r="E260" s="420" t="s">
        <v>67</v>
      </c>
      <c r="F260" s="421">
        <f>F261+F264+F266</f>
        <v>3120000</v>
      </c>
      <c r="G260" s="421">
        <f>G261+G264+G266</f>
        <v>2862500</v>
      </c>
      <c r="H260" s="421">
        <f>H261+H264+H266</f>
        <v>227500</v>
      </c>
      <c r="I260" s="421">
        <f>I261+I264+I266</f>
        <v>3090000</v>
      </c>
      <c r="J260" s="421">
        <f>J261+J264+J266</f>
        <v>30000</v>
      </c>
      <c r="K260" s="418"/>
    </row>
    <row r="261" spans="1:11" x14ac:dyDescent="0.25">
      <c r="A261" s="440"/>
      <c r="B261" s="423" t="s">
        <v>480</v>
      </c>
      <c r="C261" s="423" t="s">
        <v>360</v>
      </c>
      <c r="D261" s="422"/>
      <c r="E261" s="424" t="s">
        <v>361</v>
      </c>
      <c r="F261" s="425">
        <f>SUM(F262:F263)</f>
        <v>300000</v>
      </c>
      <c r="G261" s="425">
        <f>SUM(G262:G263)</f>
        <v>300000</v>
      </c>
      <c r="H261" s="425">
        <f>SUM(H262:H263)</f>
        <v>0</v>
      </c>
      <c r="I261" s="425">
        <f>SUM(I262:I263)</f>
        <v>300000</v>
      </c>
      <c r="J261" s="425">
        <f>SUM(J262:J263)</f>
        <v>0</v>
      </c>
      <c r="K261" s="422"/>
    </row>
    <row r="262" spans="1:11" x14ac:dyDescent="0.25">
      <c r="A262" s="439"/>
      <c r="B262" s="427" t="s">
        <v>480</v>
      </c>
      <c r="C262" s="427" t="s">
        <v>362</v>
      </c>
      <c r="D262" s="426"/>
      <c r="E262" s="428" t="s">
        <v>363</v>
      </c>
      <c r="F262" s="429">
        <v>100000</v>
      </c>
      <c r="G262" s="429">
        <v>100000</v>
      </c>
      <c r="H262" s="429">
        <f>[2]Nov!I287</f>
        <v>0</v>
      </c>
      <c r="I262" s="429">
        <f t="shared" ref="I262:I263" si="103">G262+H262</f>
        <v>100000</v>
      </c>
      <c r="J262" s="429">
        <f t="shared" ref="J262:J263" si="104">F262-I262</f>
        <v>0</v>
      </c>
      <c r="K262" s="426"/>
    </row>
    <row r="263" spans="1:11" x14ac:dyDescent="0.25">
      <c r="A263" s="439"/>
      <c r="B263" s="427" t="s">
        <v>480</v>
      </c>
      <c r="C263" s="427" t="s">
        <v>482</v>
      </c>
      <c r="D263" s="426"/>
      <c r="E263" s="428" t="s">
        <v>367</v>
      </c>
      <c r="F263" s="429">
        <v>200000</v>
      </c>
      <c r="G263" s="429">
        <v>200000</v>
      </c>
      <c r="H263" s="429">
        <f>[2]Nov!I288</f>
        <v>0</v>
      </c>
      <c r="I263" s="429">
        <f t="shared" si="103"/>
        <v>200000</v>
      </c>
      <c r="J263" s="429">
        <f t="shared" si="104"/>
        <v>0</v>
      </c>
      <c r="K263" s="426"/>
    </row>
    <row r="264" spans="1:11" x14ac:dyDescent="0.25">
      <c r="A264" s="440"/>
      <c r="B264" s="423" t="s">
        <v>480</v>
      </c>
      <c r="C264" s="423" t="s">
        <v>370</v>
      </c>
      <c r="D264" s="422"/>
      <c r="E264" s="424" t="s">
        <v>81</v>
      </c>
      <c r="F264" s="425">
        <f>SUM(F265)</f>
        <v>2400000</v>
      </c>
      <c r="G264" s="425">
        <f>SUM(G265)</f>
        <v>2400000</v>
      </c>
      <c r="H264" s="425">
        <f>SUM(H265)</f>
        <v>0</v>
      </c>
      <c r="I264" s="425">
        <f>SUM(I265)</f>
        <v>2400000</v>
      </c>
      <c r="J264" s="425">
        <f>SUM(J265)</f>
        <v>0</v>
      </c>
      <c r="K264" s="422"/>
    </row>
    <row r="265" spans="1:11" x14ac:dyDescent="0.25">
      <c r="A265" s="439"/>
      <c r="B265" s="427" t="s">
        <v>480</v>
      </c>
      <c r="C265" s="427" t="s">
        <v>422</v>
      </c>
      <c r="D265" s="426"/>
      <c r="E265" s="428" t="s">
        <v>423</v>
      </c>
      <c r="F265" s="429">
        <v>2400000</v>
      </c>
      <c r="G265" s="429">
        <v>2400000</v>
      </c>
      <c r="H265" s="429">
        <f>[2]Nov!I290</f>
        <v>0</v>
      </c>
      <c r="I265" s="429">
        <f t="shared" ref="I265" si="105">G265+H265</f>
        <v>2400000</v>
      </c>
      <c r="J265" s="429">
        <f t="shared" ref="J265" si="106">F265-I265</f>
        <v>0</v>
      </c>
      <c r="K265" s="426"/>
    </row>
    <row r="266" spans="1:11" x14ac:dyDescent="0.25">
      <c r="A266" s="440"/>
      <c r="B266" s="423" t="s">
        <v>480</v>
      </c>
      <c r="C266" s="423" t="s">
        <v>378</v>
      </c>
      <c r="D266" s="422"/>
      <c r="E266" s="424" t="s">
        <v>78</v>
      </c>
      <c r="F266" s="425">
        <f>SUM(F267)</f>
        <v>420000</v>
      </c>
      <c r="G266" s="425">
        <f>SUM(G267)</f>
        <v>162500</v>
      </c>
      <c r="H266" s="425">
        <f>SUM(H267)</f>
        <v>227500</v>
      </c>
      <c r="I266" s="425">
        <f>SUM(I267)</f>
        <v>390000</v>
      </c>
      <c r="J266" s="425">
        <f>SUM(J267)</f>
        <v>30000</v>
      </c>
      <c r="K266" s="422"/>
    </row>
    <row r="267" spans="1:11" x14ac:dyDescent="0.25">
      <c r="A267" s="450"/>
      <c r="B267" s="451" t="s">
        <v>480</v>
      </c>
      <c r="C267" s="451" t="s">
        <v>483</v>
      </c>
      <c r="D267" s="452"/>
      <c r="E267" s="453" t="s">
        <v>484</v>
      </c>
      <c r="F267" s="454">
        <v>420000</v>
      </c>
      <c r="G267" s="454">
        <v>162500</v>
      </c>
      <c r="H267" s="429">
        <f>[2]Nov!I292</f>
        <v>227500</v>
      </c>
      <c r="I267" s="454">
        <f t="shared" ref="I267" si="107">G267+H267</f>
        <v>390000</v>
      </c>
      <c r="J267" s="454">
        <f t="shared" ref="J267" si="108">F267-I267</f>
        <v>30000</v>
      </c>
      <c r="K267" s="452"/>
    </row>
    <row r="268" spans="1:11" x14ac:dyDescent="0.25">
      <c r="A268" s="450"/>
      <c r="B268" s="451"/>
      <c r="C268" s="451"/>
      <c r="D268" s="452"/>
      <c r="E268" s="453"/>
      <c r="F268" s="454"/>
      <c r="G268" s="454"/>
      <c r="H268" s="429"/>
      <c r="I268" s="454"/>
      <c r="J268" s="454"/>
      <c r="K268" s="452"/>
    </row>
    <row r="269" spans="1:11" x14ac:dyDescent="0.25">
      <c r="A269" s="438"/>
      <c r="B269" s="419" t="s">
        <v>485</v>
      </c>
      <c r="C269" s="438"/>
      <c r="D269" s="418"/>
      <c r="E269" s="420" t="s">
        <v>486</v>
      </c>
      <c r="F269" s="421">
        <f>F270+F276</f>
        <v>89367500</v>
      </c>
      <c r="G269" s="421">
        <f>G270+G276</f>
        <v>48831950</v>
      </c>
      <c r="H269" s="421">
        <f>H270+H276</f>
        <v>28276000</v>
      </c>
      <c r="I269" s="421">
        <f>I270+I276</f>
        <v>77107950</v>
      </c>
      <c r="J269" s="421">
        <f>J270+J276</f>
        <v>12259550</v>
      </c>
      <c r="K269" s="418"/>
    </row>
    <row r="270" spans="1:11" x14ac:dyDescent="0.25">
      <c r="A270" s="438"/>
      <c r="B270" s="419" t="s">
        <v>485</v>
      </c>
      <c r="C270" s="419" t="s">
        <v>359</v>
      </c>
      <c r="D270" s="418"/>
      <c r="E270" s="420" t="s">
        <v>67</v>
      </c>
      <c r="F270" s="421">
        <f>F271</f>
        <v>730000</v>
      </c>
      <c r="G270" s="421">
        <f>G271</f>
        <v>0</v>
      </c>
      <c r="H270" s="421">
        <f>H271</f>
        <v>730000</v>
      </c>
      <c r="I270" s="421">
        <f>I271</f>
        <v>730000</v>
      </c>
      <c r="J270" s="421">
        <f>J271</f>
        <v>0</v>
      </c>
      <c r="K270" s="418"/>
    </row>
    <row r="271" spans="1:11" x14ac:dyDescent="0.25">
      <c r="A271" s="440"/>
      <c r="B271" s="423" t="s">
        <v>485</v>
      </c>
      <c r="C271" s="423" t="s">
        <v>360</v>
      </c>
      <c r="D271" s="422"/>
      <c r="E271" s="424" t="s">
        <v>361</v>
      </c>
      <c r="F271" s="425">
        <f>SUM(F272:F275)</f>
        <v>730000</v>
      </c>
      <c r="G271" s="425">
        <f>SUM(G272:G275)</f>
        <v>0</v>
      </c>
      <c r="H271" s="425">
        <f>SUM(H272:H275)</f>
        <v>730000</v>
      </c>
      <c r="I271" s="425">
        <f>SUM(I272:I275)</f>
        <v>730000</v>
      </c>
      <c r="J271" s="425">
        <f>SUM(J272:J275)</f>
        <v>0</v>
      </c>
      <c r="K271" s="422"/>
    </row>
    <row r="272" spans="1:11" x14ac:dyDescent="0.25">
      <c r="A272" s="439"/>
      <c r="B272" s="427" t="s">
        <v>485</v>
      </c>
      <c r="C272" s="427" t="s">
        <v>362</v>
      </c>
      <c r="D272" s="426"/>
      <c r="E272" s="428" t="s">
        <v>363</v>
      </c>
      <c r="F272" s="429">
        <v>100000</v>
      </c>
      <c r="G272" s="429">
        <v>0</v>
      </c>
      <c r="H272" s="429">
        <f>[2]Nov!I302</f>
        <v>100000</v>
      </c>
      <c r="I272" s="429">
        <f t="shared" ref="I272:I275" si="109">G272+H272</f>
        <v>100000</v>
      </c>
      <c r="J272" s="429">
        <f t="shared" ref="J272:J275" si="110">F272-I272</f>
        <v>0</v>
      </c>
      <c r="K272" s="426"/>
    </row>
    <row r="273" spans="1:11" x14ac:dyDescent="0.25">
      <c r="A273" s="439"/>
      <c r="B273" s="427" t="s">
        <v>485</v>
      </c>
      <c r="C273" s="427" t="s">
        <v>366</v>
      </c>
      <c r="D273" s="426"/>
      <c r="E273" s="428" t="s">
        <v>367</v>
      </c>
      <c r="F273" s="429">
        <v>100000</v>
      </c>
      <c r="G273" s="429">
        <v>0</v>
      </c>
      <c r="H273" s="429">
        <f>[2]Nov!I303</f>
        <v>100000</v>
      </c>
      <c r="I273" s="429">
        <f t="shared" si="109"/>
        <v>100000</v>
      </c>
      <c r="J273" s="429">
        <f t="shared" si="110"/>
        <v>0</v>
      </c>
      <c r="K273" s="426"/>
    </row>
    <row r="274" spans="1:11" x14ac:dyDescent="0.25">
      <c r="A274" s="439"/>
      <c r="B274" s="427" t="s">
        <v>485</v>
      </c>
      <c r="C274" s="427" t="s">
        <v>368</v>
      </c>
      <c r="D274" s="426"/>
      <c r="E274" s="428" t="s">
        <v>369</v>
      </c>
      <c r="F274" s="429">
        <v>180000</v>
      </c>
      <c r="G274" s="429">
        <v>0</v>
      </c>
      <c r="H274" s="429">
        <f>[2]Nov!I304</f>
        <v>180000</v>
      </c>
      <c r="I274" s="429">
        <f t="shared" si="109"/>
        <v>180000</v>
      </c>
      <c r="J274" s="429">
        <f t="shared" si="110"/>
        <v>0</v>
      </c>
      <c r="K274" s="426"/>
    </row>
    <row r="275" spans="1:11" x14ac:dyDescent="0.25">
      <c r="A275" s="439"/>
      <c r="B275" s="427" t="s">
        <v>485</v>
      </c>
      <c r="C275" s="427" t="s">
        <v>487</v>
      </c>
      <c r="D275" s="426"/>
      <c r="E275" s="428" t="s">
        <v>488</v>
      </c>
      <c r="F275" s="429">
        <v>350000</v>
      </c>
      <c r="G275" s="429">
        <v>0</v>
      </c>
      <c r="H275" s="429">
        <f>[2]Nov!I305</f>
        <v>350000</v>
      </c>
      <c r="I275" s="429">
        <f t="shared" si="109"/>
        <v>350000</v>
      </c>
      <c r="J275" s="429">
        <f t="shared" si="110"/>
        <v>0</v>
      </c>
      <c r="K275" s="426"/>
    </row>
    <row r="276" spans="1:11" x14ac:dyDescent="0.25">
      <c r="A276" s="438"/>
      <c r="B276" s="419" t="s">
        <v>485</v>
      </c>
      <c r="C276" s="419" t="s">
        <v>404</v>
      </c>
      <c r="D276" s="418"/>
      <c r="E276" s="420" t="s">
        <v>68</v>
      </c>
      <c r="F276" s="421">
        <f>F277</f>
        <v>88637500</v>
      </c>
      <c r="G276" s="421">
        <f>G277</f>
        <v>48831950</v>
      </c>
      <c r="H276" s="421">
        <f>H277</f>
        <v>27546000</v>
      </c>
      <c r="I276" s="421">
        <f>I277</f>
        <v>76377950</v>
      </c>
      <c r="J276" s="421">
        <f>J277</f>
        <v>12259550</v>
      </c>
      <c r="K276" s="418"/>
    </row>
    <row r="277" spans="1:11" x14ac:dyDescent="0.25">
      <c r="A277" s="440"/>
      <c r="B277" s="423" t="s">
        <v>485</v>
      </c>
      <c r="C277" s="423" t="s">
        <v>489</v>
      </c>
      <c r="D277" s="422"/>
      <c r="E277" s="424" t="s">
        <v>490</v>
      </c>
      <c r="F277" s="425">
        <f>SUM(F278:F280)</f>
        <v>88637500</v>
      </c>
      <c r="G277" s="425">
        <f>SUM(G278:G280)</f>
        <v>48831950</v>
      </c>
      <c r="H277" s="425">
        <f>SUM(H278:H280)</f>
        <v>27546000</v>
      </c>
      <c r="I277" s="425">
        <f>SUM(I278:I280)</f>
        <v>76377950</v>
      </c>
      <c r="J277" s="425">
        <f>SUM(J278:J280)</f>
        <v>12259550</v>
      </c>
      <c r="K277" s="422"/>
    </row>
    <row r="278" spans="1:11" x14ac:dyDescent="0.25">
      <c r="A278" s="439"/>
      <c r="B278" s="427" t="s">
        <v>485</v>
      </c>
      <c r="C278" s="427" t="s">
        <v>491</v>
      </c>
      <c r="D278" s="426"/>
      <c r="E278" s="428" t="s">
        <v>492</v>
      </c>
      <c r="F278" s="429">
        <v>3250000</v>
      </c>
      <c r="G278" s="429">
        <v>3250000</v>
      </c>
      <c r="H278" s="429">
        <f>[2]Nov!I308</f>
        <v>0</v>
      </c>
      <c r="I278" s="429">
        <f t="shared" ref="I278:I280" si="111">G278+H278</f>
        <v>3250000</v>
      </c>
      <c r="J278" s="429">
        <f t="shared" ref="J278:J280" si="112">F278-I278</f>
        <v>0</v>
      </c>
      <c r="K278" s="426"/>
    </row>
    <row r="279" spans="1:11" x14ac:dyDescent="0.25">
      <c r="A279" s="439"/>
      <c r="B279" s="427" t="s">
        <v>485</v>
      </c>
      <c r="C279" s="427" t="s">
        <v>493</v>
      </c>
      <c r="D279" s="426"/>
      <c r="E279" s="428" t="s">
        <v>494</v>
      </c>
      <c r="F279" s="429">
        <v>27546000</v>
      </c>
      <c r="G279" s="429">
        <v>0</v>
      </c>
      <c r="H279" s="429">
        <f>[2]Nov!I309</f>
        <v>27546000</v>
      </c>
      <c r="I279" s="429">
        <f t="shared" si="111"/>
        <v>27546000</v>
      </c>
      <c r="J279" s="429">
        <f t="shared" si="112"/>
        <v>0</v>
      </c>
      <c r="K279" s="426"/>
    </row>
    <row r="280" spans="1:11" x14ac:dyDescent="0.25">
      <c r="A280" s="450"/>
      <c r="B280" s="451" t="s">
        <v>485</v>
      </c>
      <c r="C280" s="451" t="s">
        <v>495</v>
      </c>
      <c r="D280" s="452"/>
      <c r="E280" s="453" t="s">
        <v>496</v>
      </c>
      <c r="F280" s="454">
        <v>57841500</v>
      </c>
      <c r="G280" s="429">
        <f>45551950+30000</f>
        <v>45581950</v>
      </c>
      <c r="H280" s="429">
        <f>[2]Nov!I310</f>
        <v>0</v>
      </c>
      <c r="I280" s="454">
        <f t="shared" si="111"/>
        <v>45581950</v>
      </c>
      <c r="J280" s="454">
        <f t="shared" si="112"/>
        <v>12259550</v>
      </c>
      <c r="K280" s="452"/>
    </row>
    <row r="281" spans="1:11" x14ac:dyDescent="0.25">
      <c r="A281" s="439"/>
      <c r="B281" s="427"/>
      <c r="C281" s="427"/>
      <c r="D281" s="426"/>
      <c r="E281" s="428"/>
      <c r="F281" s="429"/>
      <c r="G281" s="429"/>
      <c r="H281" s="429"/>
      <c r="I281" s="429"/>
      <c r="J281" s="429"/>
      <c r="K281" s="426"/>
    </row>
    <row r="282" spans="1:11" x14ac:dyDescent="0.25">
      <c r="A282" s="455"/>
      <c r="B282" s="456" t="s">
        <v>497</v>
      </c>
      <c r="C282" s="455"/>
      <c r="D282" s="458" t="s">
        <v>498</v>
      </c>
      <c r="E282" s="457"/>
      <c r="F282" s="459">
        <f>F283+F296+F305+F318+F326+F331+F340+F347+F352+F361</f>
        <v>85768400</v>
      </c>
      <c r="G282" s="459">
        <f>G283+G296+G305+G318+G326+G331+G340+G347+G352+G361</f>
        <v>8792500</v>
      </c>
      <c r="H282" s="459">
        <f>H283+H296+H305+H318+H326+H331+H340+H347+H352+H361</f>
        <v>72799250</v>
      </c>
      <c r="I282" s="459">
        <f>I283+I296+I305+I318+I326+I331+I340+I347+I352+I361</f>
        <v>81591750</v>
      </c>
      <c r="J282" s="459">
        <f>J283+J296+J305+J318+J326+J331+J340+J347+J352+J361</f>
        <v>4176650</v>
      </c>
      <c r="K282" s="457"/>
    </row>
    <row r="283" spans="1:11" x14ac:dyDescent="0.25">
      <c r="A283" s="438"/>
      <c r="B283" s="419" t="s">
        <v>499</v>
      </c>
      <c r="C283" s="438"/>
      <c r="D283" s="418"/>
      <c r="E283" s="420" t="s">
        <v>500</v>
      </c>
      <c r="F283" s="421">
        <f>F284</f>
        <v>29047400</v>
      </c>
      <c r="G283" s="421">
        <f>G284</f>
        <v>2762500</v>
      </c>
      <c r="H283" s="421">
        <f>H284</f>
        <v>25161000</v>
      </c>
      <c r="I283" s="421">
        <f>I284</f>
        <v>27923500</v>
      </c>
      <c r="J283" s="421">
        <f>J284</f>
        <v>1123900</v>
      </c>
      <c r="K283" s="418"/>
    </row>
    <row r="284" spans="1:11" x14ac:dyDescent="0.25">
      <c r="A284" s="438"/>
      <c r="B284" s="419" t="s">
        <v>499</v>
      </c>
      <c r="C284" s="419" t="s">
        <v>359</v>
      </c>
      <c r="D284" s="418"/>
      <c r="E284" s="420" t="s">
        <v>67</v>
      </c>
      <c r="F284" s="421">
        <f>F285+F289+F293</f>
        <v>29047400</v>
      </c>
      <c r="G284" s="421">
        <f>G285+G289+G293</f>
        <v>2762500</v>
      </c>
      <c r="H284" s="421">
        <f>H285+H289+H293</f>
        <v>25161000</v>
      </c>
      <c r="I284" s="421">
        <f>I285+I289+I293</f>
        <v>27923500</v>
      </c>
      <c r="J284" s="421">
        <f>J285+J289+J293</f>
        <v>1123900</v>
      </c>
      <c r="K284" s="418"/>
    </row>
    <row r="285" spans="1:11" x14ac:dyDescent="0.25">
      <c r="A285" s="440"/>
      <c r="B285" s="423" t="s">
        <v>499</v>
      </c>
      <c r="C285" s="423" t="s">
        <v>360</v>
      </c>
      <c r="D285" s="422"/>
      <c r="E285" s="424" t="s">
        <v>361</v>
      </c>
      <c r="F285" s="425">
        <f>SUM(F286:F288)</f>
        <v>5977400</v>
      </c>
      <c r="G285" s="425">
        <f>SUM(G286:G288)</f>
        <v>975000</v>
      </c>
      <c r="H285" s="425">
        <f>SUM(H286:H288)</f>
        <v>3978500</v>
      </c>
      <c r="I285" s="425">
        <f>SUM(I286:I288)</f>
        <v>4953500</v>
      </c>
      <c r="J285" s="425">
        <f>SUM(J286:J288)</f>
        <v>1023900</v>
      </c>
      <c r="K285" s="422"/>
    </row>
    <row r="286" spans="1:11" x14ac:dyDescent="0.25">
      <c r="A286" s="439"/>
      <c r="B286" s="427" t="s">
        <v>499</v>
      </c>
      <c r="C286" s="427" t="s">
        <v>362</v>
      </c>
      <c r="D286" s="426"/>
      <c r="E286" s="428" t="s">
        <v>363</v>
      </c>
      <c r="F286" s="429">
        <v>100000</v>
      </c>
      <c r="G286" s="429">
        <v>0</v>
      </c>
      <c r="H286" s="429">
        <f>[2]Nov!I316</f>
        <v>100000</v>
      </c>
      <c r="I286" s="429">
        <f t="shared" ref="I286:I288" si="113">G286+H286</f>
        <v>100000</v>
      </c>
      <c r="J286" s="429">
        <f t="shared" ref="J286:J288" si="114">F286-I286</f>
        <v>0</v>
      </c>
      <c r="K286" s="426"/>
    </row>
    <row r="287" spans="1:11" x14ac:dyDescent="0.25">
      <c r="A287" s="439"/>
      <c r="B287" s="427" t="s">
        <v>499</v>
      </c>
      <c r="C287" s="427" t="s">
        <v>366</v>
      </c>
      <c r="D287" s="426"/>
      <c r="E287" s="428" t="s">
        <v>367</v>
      </c>
      <c r="F287" s="429">
        <v>114900</v>
      </c>
      <c r="G287" s="429">
        <v>0</v>
      </c>
      <c r="H287" s="429">
        <f>[2]Nov!I317</f>
        <v>114750</v>
      </c>
      <c r="I287" s="429">
        <f t="shared" si="113"/>
        <v>114750</v>
      </c>
      <c r="J287" s="429">
        <f t="shared" si="114"/>
        <v>150</v>
      </c>
      <c r="K287" s="426"/>
    </row>
    <row r="288" spans="1:11" x14ac:dyDescent="0.25">
      <c r="A288" s="439"/>
      <c r="B288" s="427" t="s">
        <v>499</v>
      </c>
      <c r="C288" s="427" t="s">
        <v>368</v>
      </c>
      <c r="D288" s="426"/>
      <c r="E288" s="428" t="s">
        <v>369</v>
      </c>
      <c r="F288" s="429">
        <v>5762500</v>
      </c>
      <c r="G288" s="429">
        <v>975000</v>
      </c>
      <c r="H288" s="429">
        <f>[2]Nov!I318</f>
        <v>3763750</v>
      </c>
      <c r="I288" s="429">
        <f t="shared" si="113"/>
        <v>4738750</v>
      </c>
      <c r="J288" s="429">
        <f t="shared" si="114"/>
        <v>1023750</v>
      </c>
      <c r="K288" s="426"/>
    </row>
    <row r="289" spans="1:11" x14ac:dyDescent="0.25">
      <c r="A289" s="440"/>
      <c r="B289" s="423" t="s">
        <v>499</v>
      </c>
      <c r="C289" s="423" t="s">
        <v>370</v>
      </c>
      <c r="D289" s="422"/>
      <c r="E289" s="424" t="s">
        <v>81</v>
      </c>
      <c r="F289" s="425">
        <f>SUM(F290:F292)</f>
        <v>22170000</v>
      </c>
      <c r="G289" s="425">
        <f>SUM(G290:G292)</f>
        <v>1787500</v>
      </c>
      <c r="H289" s="425">
        <f>SUM(H290:H292)</f>
        <v>20382500</v>
      </c>
      <c r="I289" s="425">
        <f>SUM(I290:I292)</f>
        <v>22170000</v>
      </c>
      <c r="J289" s="425">
        <f>SUM(J290:J292)</f>
        <v>0</v>
      </c>
      <c r="K289" s="422"/>
    </row>
    <row r="290" spans="1:11" x14ac:dyDescent="0.25">
      <c r="A290" s="439"/>
      <c r="B290" s="427" t="s">
        <v>499</v>
      </c>
      <c r="C290" s="427" t="s">
        <v>476</v>
      </c>
      <c r="D290" s="426"/>
      <c r="E290" s="428" t="s">
        <v>477</v>
      </c>
      <c r="F290" s="429">
        <v>450000</v>
      </c>
      <c r="G290" s="429">
        <v>0</v>
      </c>
      <c r="H290" s="429">
        <f>[2]Nov!I320</f>
        <v>450000</v>
      </c>
      <c r="I290" s="429">
        <f t="shared" ref="I290:I292" si="115">G290+H290</f>
        <v>450000</v>
      </c>
      <c r="J290" s="429">
        <f t="shared" ref="J290:J292" si="116">F290-I290</f>
        <v>0</v>
      </c>
      <c r="K290" s="426"/>
    </row>
    <row r="291" spans="1:11" x14ac:dyDescent="0.25">
      <c r="A291" s="439"/>
      <c r="B291" s="427" t="s">
        <v>499</v>
      </c>
      <c r="C291" s="427" t="s">
        <v>478</v>
      </c>
      <c r="D291" s="426"/>
      <c r="E291" s="428" t="s">
        <v>479</v>
      </c>
      <c r="F291" s="429">
        <v>270000</v>
      </c>
      <c r="G291" s="429">
        <v>0</v>
      </c>
      <c r="H291" s="429">
        <f>[2]Nov!I321</f>
        <v>270000</v>
      </c>
      <c r="I291" s="429">
        <f t="shared" si="115"/>
        <v>270000</v>
      </c>
      <c r="J291" s="429">
        <f t="shared" si="116"/>
        <v>0</v>
      </c>
      <c r="K291" s="426"/>
    </row>
    <row r="292" spans="1:11" x14ac:dyDescent="0.25">
      <c r="A292" s="439"/>
      <c r="B292" s="427" t="s">
        <v>499</v>
      </c>
      <c r="C292" s="427" t="s">
        <v>398</v>
      </c>
      <c r="D292" s="426"/>
      <c r="E292" s="428" t="s">
        <v>399</v>
      </c>
      <c r="F292" s="429">
        <v>21450000</v>
      </c>
      <c r="G292" s="429">
        <v>1787500</v>
      </c>
      <c r="H292" s="429">
        <f>[2]Nov!I322</f>
        <v>19662500</v>
      </c>
      <c r="I292" s="429">
        <f t="shared" si="115"/>
        <v>21450000</v>
      </c>
      <c r="J292" s="429">
        <f t="shared" si="116"/>
        <v>0</v>
      </c>
      <c r="K292" s="426"/>
    </row>
    <row r="293" spans="1:11" x14ac:dyDescent="0.25">
      <c r="A293" s="440"/>
      <c r="B293" s="423" t="s">
        <v>499</v>
      </c>
      <c r="C293" s="423" t="s">
        <v>460</v>
      </c>
      <c r="D293" s="422"/>
      <c r="E293" s="424" t="s">
        <v>461</v>
      </c>
      <c r="F293" s="425">
        <f>SUM(F294)</f>
        <v>900000</v>
      </c>
      <c r="G293" s="425">
        <f>SUM(G294)</f>
        <v>0</v>
      </c>
      <c r="H293" s="425">
        <f>SUM(H294)</f>
        <v>800000</v>
      </c>
      <c r="I293" s="425">
        <f>SUM(I294)</f>
        <v>800000</v>
      </c>
      <c r="J293" s="425">
        <f>SUM(J294)</f>
        <v>100000</v>
      </c>
      <c r="K293" s="422"/>
    </row>
    <row r="294" spans="1:11" x14ac:dyDescent="0.25">
      <c r="A294" s="439"/>
      <c r="B294" s="427" t="s">
        <v>499</v>
      </c>
      <c r="C294" s="427" t="s">
        <v>462</v>
      </c>
      <c r="D294" s="426"/>
      <c r="E294" s="428" t="s">
        <v>463</v>
      </c>
      <c r="F294" s="429">
        <v>900000</v>
      </c>
      <c r="G294" s="429">
        <v>0</v>
      </c>
      <c r="H294" s="429">
        <f>[2]Nov!I324</f>
        <v>800000</v>
      </c>
      <c r="I294" s="429">
        <f t="shared" ref="I294" si="117">G294+H294</f>
        <v>800000</v>
      </c>
      <c r="J294" s="429">
        <f t="shared" ref="J294" si="118">F294-I294</f>
        <v>100000</v>
      </c>
      <c r="K294" s="426"/>
    </row>
    <row r="295" spans="1:11" x14ac:dyDescent="0.25">
      <c r="A295" s="439"/>
      <c r="B295" s="427"/>
      <c r="C295" s="427"/>
      <c r="D295" s="426"/>
      <c r="E295" s="428"/>
      <c r="F295" s="429"/>
      <c r="G295" s="429"/>
      <c r="H295" s="429"/>
      <c r="I295" s="429"/>
      <c r="J295" s="429"/>
      <c r="K295" s="426"/>
    </row>
    <row r="296" spans="1:11" ht="38.25" x14ac:dyDescent="0.25">
      <c r="A296" s="438"/>
      <c r="B296" s="449" t="s">
        <v>501</v>
      </c>
      <c r="C296" s="438"/>
      <c r="D296" s="418"/>
      <c r="E296" s="442" t="s">
        <v>502</v>
      </c>
      <c r="F296" s="443">
        <f>F297</f>
        <v>2835000</v>
      </c>
      <c r="G296" s="443">
        <f>G297</f>
        <v>0</v>
      </c>
      <c r="H296" s="443">
        <f>H297</f>
        <v>2835000</v>
      </c>
      <c r="I296" s="443">
        <f>I297</f>
        <v>2835000</v>
      </c>
      <c r="J296" s="443">
        <f>J297</f>
        <v>0</v>
      </c>
      <c r="K296" s="418"/>
    </row>
    <row r="297" spans="1:11" x14ac:dyDescent="0.25">
      <c r="A297" s="438"/>
      <c r="B297" s="419" t="s">
        <v>501</v>
      </c>
      <c r="C297" s="419" t="s">
        <v>359</v>
      </c>
      <c r="D297" s="418"/>
      <c r="E297" s="420" t="s">
        <v>67</v>
      </c>
      <c r="F297" s="421">
        <f>F298+F301</f>
        <v>2835000</v>
      </c>
      <c r="G297" s="421">
        <f>G298+G301</f>
        <v>0</v>
      </c>
      <c r="H297" s="421">
        <f>H298+H301</f>
        <v>2835000</v>
      </c>
      <c r="I297" s="421">
        <f>I298+I301</f>
        <v>2835000</v>
      </c>
      <c r="J297" s="421">
        <f>J298+J301</f>
        <v>0</v>
      </c>
      <c r="K297" s="418"/>
    </row>
    <row r="298" spans="1:11" x14ac:dyDescent="0.25">
      <c r="A298" s="440"/>
      <c r="B298" s="423" t="s">
        <v>501</v>
      </c>
      <c r="C298" s="423" t="s">
        <v>360</v>
      </c>
      <c r="D298" s="422"/>
      <c r="E298" s="424" t="s">
        <v>361</v>
      </c>
      <c r="F298" s="425">
        <f>SUM(F299:F300)</f>
        <v>1410000</v>
      </c>
      <c r="G298" s="425">
        <f>SUM(G299:G300)</f>
        <v>0</v>
      </c>
      <c r="H298" s="425">
        <f>SUM(H299:H300)</f>
        <v>1410000</v>
      </c>
      <c r="I298" s="425">
        <f>SUM(I299:I300)</f>
        <v>1410000</v>
      </c>
      <c r="J298" s="425">
        <f>SUM(J299:J300)</f>
        <v>0</v>
      </c>
      <c r="K298" s="422"/>
    </row>
    <row r="299" spans="1:11" x14ac:dyDescent="0.25">
      <c r="A299" s="439"/>
      <c r="B299" s="427" t="s">
        <v>501</v>
      </c>
      <c r="C299" s="427" t="s">
        <v>366</v>
      </c>
      <c r="D299" s="426"/>
      <c r="E299" s="428" t="s">
        <v>367</v>
      </c>
      <c r="F299" s="429">
        <v>50000</v>
      </c>
      <c r="G299" s="429">
        <v>0</v>
      </c>
      <c r="H299" s="429">
        <f>[2]Nov!I329</f>
        <v>50000</v>
      </c>
      <c r="I299" s="429">
        <f t="shared" ref="I299:I300" si="119">G299+H299</f>
        <v>50000</v>
      </c>
      <c r="J299" s="429">
        <f t="shared" ref="J299:J300" si="120">F299-I299</f>
        <v>0</v>
      </c>
      <c r="K299" s="426"/>
    </row>
    <row r="300" spans="1:11" x14ac:dyDescent="0.25">
      <c r="A300" s="439"/>
      <c r="B300" s="427" t="s">
        <v>501</v>
      </c>
      <c r="C300" s="427" t="s">
        <v>368</v>
      </c>
      <c r="D300" s="426"/>
      <c r="E300" s="428" t="s">
        <v>369</v>
      </c>
      <c r="F300" s="429">
        <v>1360000</v>
      </c>
      <c r="G300" s="429">
        <v>0</v>
      </c>
      <c r="H300" s="429">
        <f>[2]Nov!I330</f>
        <v>1360000</v>
      </c>
      <c r="I300" s="429">
        <f t="shared" si="119"/>
        <v>1360000</v>
      </c>
      <c r="J300" s="429">
        <f t="shared" si="120"/>
        <v>0</v>
      </c>
      <c r="K300" s="426"/>
    </row>
    <row r="301" spans="1:11" x14ac:dyDescent="0.25">
      <c r="A301" s="440"/>
      <c r="B301" s="423" t="s">
        <v>501</v>
      </c>
      <c r="C301" s="423" t="s">
        <v>370</v>
      </c>
      <c r="D301" s="422"/>
      <c r="E301" s="424" t="s">
        <v>81</v>
      </c>
      <c r="F301" s="425">
        <f>SUM(F302:F303)</f>
        <v>1425000</v>
      </c>
      <c r="G301" s="425">
        <f>SUM(G302:G303)</f>
        <v>0</v>
      </c>
      <c r="H301" s="425">
        <f>SUM(H302:H303)</f>
        <v>1425000</v>
      </c>
      <c r="I301" s="425">
        <f>SUM(I302:I303)</f>
        <v>1425000</v>
      </c>
      <c r="J301" s="425">
        <f>SUM(J302:J303)</f>
        <v>0</v>
      </c>
      <c r="K301" s="422"/>
    </row>
    <row r="302" spans="1:11" x14ac:dyDescent="0.25">
      <c r="A302" s="439"/>
      <c r="B302" s="427" t="s">
        <v>501</v>
      </c>
      <c r="C302" s="427" t="s">
        <v>476</v>
      </c>
      <c r="D302" s="426"/>
      <c r="E302" s="428" t="s">
        <v>477</v>
      </c>
      <c r="F302" s="429">
        <v>450000</v>
      </c>
      <c r="G302" s="429">
        <v>0</v>
      </c>
      <c r="H302" s="429">
        <f>[2]Nov!I332</f>
        <v>450000</v>
      </c>
      <c r="I302" s="429">
        <f t="shared" ref="I302:I303" si="121">G302+H302</f>
        <v>450000</v>
      </c>
      <c r="J302" s="429">
        <f t="shared" ref="J302:J303" si="122">F302-I302</f>
        <v>0</v>
      </c>
      <c r="K302" s="426"/>
    </row>
    <row r="303" spans="1:11" x14ac:dyDescent="0.25">
      <c r="A303" s="450"/>
      <c r="B303" s="451" t="s">
        <v>501</v>
      </c>
      <c r="C303" s="451" t="s">
        <v>478</v>
      </c>
      <c r="D303" s="452"/>
      <c r="E303" s="453" t="s">
        <v>479</v>
      </c>
      <c r="F303" s="454">
        <v>975000</v>
      </c>
      <c r="G303" s="454">
        <v>0</v>
      </c>
      <c r="H303" s="429">
        <f>[2]Nov!I333</f>
        <v>975000</v>
      </c>
      <c r="I303" s="454">
        <f t="shared" si="121"/>
        <v>975000</v>
      </c>
      <c r="J303" s="454">
        <f t="shared" si="122"/>
        <v>0</v>
      </c>
      <c r="K303" s="452"/>
    </row>
    <row r="304" spans="1:11" x14ac:dyDescent="0.25">
      <c r="A304" s="450"/>
      <c r="B304" s="451"/>
      <c r="C304" s="451"/>
      <c r="D304" s="452"/>
      <c r="E304" s="453"/>
      <c r="F304" s="454"/>
      <c r="G304" s="454"/>
      <c r="H304" s="429"/>
      <c r="I304" s="454"/>
      <c r="J304" s="454"/>
      <c r="K304" s="452"/>
    </row>
    <row r="305" spans="1:11" x14ac:dyDescent="0.25">
      <c r="A305" s="438"/>
      <c r="B305" s="419" t="s">
        <v>503</v>
      </c>
      <c r="C305" s="438"/>
      <c r="D305" s="418"/>
      <c r="E305" s="420" t="s">
        <v>504</v>
      </c>
      <c r="F305" s="421">
        <f>F306+F314</f>
        <v>18526500</v>
      </c>
      <c r="G305" s="421">
        <f>G306+G314</f>
        <v>2131500</v>
      </c>
      <c r="H305" s="421">
        <f>H306+H314</f>
        <v>13974500</v>
      </c>
      <c r="I305" s="421">
        <f>I306+I314</f>
        <v>16106000</v>
      </c>
      <c r="J305" s="421">
        <f>J306+J314</f>
        <v>2420500</v>
      </c>
      <c r="K305" s="418"/>
    </row>
    <row r="306" spans="1:11" x14ac:dyDescent="0.25">
      <c r="A306" s="438"/>
      <c r="B306" s="419" t="s">
        <v>503</v>
      </c>
      <c r="C306" s="419" t="s">
        <v>359</v>
      </c>
      <c r="D306" s="418"/>
      <c r="E306" s="420" t="s">
        <v>67</v>
      </c>
      <c r="F306" s="421">
        <f>F307+F311</f>
        <v>9676500</v>
      </c>
      <c r="G306" s="421">
        <f>G307+G311</f>
        <v>2131500</v>
      </c>
      <c r="H306" s="421">
        <f>H307+H311</f>
        <v>5124500</v>
      </c>
      <c r="I306" s="421">
        <f>I307+I311</f>
        <v>7256000</v>
      </c>
      <c r="J306" s="421">
        <f>J307+J311</f>
        <v>2420500</v>
      </c>
      <c r="K306" s="418"/>
    </row>
    <row r="307" spans="1:11" x14ac:dyDescent="0.25">
      <c r="A307" s="440"/>
      <c r="B307" s="423" t="s">
        <v>503</v>
      </c>
      <c r="C307" s="423" t="s">
        <v>360</v>
      </c>
      <c r="D307" s="422"/>
      <c r="E307" s="424" t="s">
        <v>361</v>
      </c>
      <c r="F307" s="425">
        <f>SUM(F308:F310)</f>
        <v>8026500</v>
      </c>
      <c r="G307" s="425">
        <f>SUM(G308:G310)</f>
        <v>1331500</v>
      </c>
      <c r="H307" s="425">
        <f>SUM(H308:H310)</f>
        <v>4724500</v>
      </c>
      <c r="I307" s="425">
        <f>SUM(I308:I310)</f>
        <v>6056000</v>
      </c>
      <c r="J307" s="425">
        <f>SUM(J308:J310)</f>
        <v>1970500</v>
      </c>
      <c r="K307" s="422"/>
    </row>
    <row r="308" spans="1:11" x14ac:dyDescent="0.25">
      <c r="A308" s="439"/>
      <c r="B308" s="427" t="s">
        <v>503</v>
      </c>
      <c r="C308" s="427" t="s">
        <v>362</v>
      </c>
      <c r="D308" s="426"/>
      <c r="E308" s="428" t="s">
        <v>363</v>
      </c>
      <c r="F308" s="429">
        <v>300000</v>
      </c>
      <c r="G308" s="429">
        <v>0</v>
      </c>
      <c r="H308" s="429">
        <f>[2]Nov!I341</f>
        <v>300000</v>
      </c>
      <c r="I308" s="429">
        <f t="shared" ref="I308:I310" si="123">G308+H308</f>
        <v>300000</v>
      </c>
      <c r="J308" s="429">
        <f t="shared" ref="J308:J310" si="124">F308-I308</f>
        <v>0</v>
      </c>
      <c r="K308" s="426"/>
    </row>
    <row r="309" spans="1:11" x14ac:dyDescent="0.25">
      <c r="A309" s="439"/>
      <c r="B309" s="427" t="s">
        <v>503</v>
      </c>
      <c r="C309" s="427" t="s">
        <v>366</v>
      </c>
      <c r="D309" s="426"/>
      <c r="E309" s="428" t="s">
        <v>367</v>
      </c>
      <c r="F309" s="429">
        <v>531500</v>
      </c>
      <c r="G309" s="429">
        <v>311500</v>
      </c>
      <c r="H309" s="429">
        <f>[2]Nov!I342</f>
        <v>220000</v>
      </c>
      <c r="I309" s="429">
        <f t="shared" si="123"/>
        <v>531500</v>
      </c>
      <c r="J309" s="429">
        <f t="shared" si="124"/>
        <v>0</v>
      </c>
      <c r="K309" s="426"/>
    </row>
    <row r="310" spans="1:11" x14ac:dyDescent="0.25">
      <c r="A310" s="439"/>
      <c r="B310" s="427" t="s">
        <v>503</v>
      </c>
      <c r="C310" s="427" t="s">
        <v>368</v>
      </c>
      <c r="D310" s="426"/>
      <c r="E310" s="428" t="s">
        <v>369</v>
      </c>
      <c r="F310" s="429">
        <v>7195000</v>
      </c>
      <c r="G310" s="429">
        <f>330000+690000</f>
        <v>1020000</v>
      </c>
      <c r="H310" s="429">
        <f>[2]Nov!I343</f>
        <v>4204500</v>
      </c>
      <c r="I310" s="429">
        <f t="shared" si="123"/>
        <v>5224500</v>
      </c>
      <c r="J310" s="429">
        <f t="shared" si="124"/>
        <v>1970500</v>
      </c>
      <c r="K310" s="426"/>
    </row>
    <row r="311" spans="1:11" x14ac:dyDescent="0.25">
      <c r="A311" s="440"/>
      <c r="B311" s="423" t="s">
        <v>503</v>
      </c>
      <c r="C311" s="423" t="s">
        <v>370</v>
      </c>
      <c r="D311" s="422"/>
      <c r="E311" s="424" t="s">
        <v>81</v>
      </c>
      <c r="F311" s="425">
        <f>SUM(F312:F313)</f>
        <v>1650000</v>
      </c>
      <c r="G311" s="425">
        <f>SUM(G312:G313)</f>
        <v>800000</v>
      </c>
      <c r="H311" s="425">
        <f>SUM(H312:H313)</f>
        <v>400000</v>
      </c>
      <c r="I311" s="425">
        <f>SUM(I312:I313)</f>
        <v>1200000</v>
      </c>
      <c r="J311" s="425">
        <f>SUM(J312:J313)</f>
        <v>450000</v>
      </c>
      <c r="K311" s="422"/>
    </row>
    <row r="312" spans="1:11" x14ac:dyDescent="0.25">
      <c r="A312" s="439"/>
      <c r="B312" s="427" t="s">
        <v>503</v>
      </c>
      <c r="C312" s="427" t="s">
        <v>476</v>
      </c>
      <c r="D312" s="426"/>
      <c r="E312" s="428" t="s">
        <v>477</v>
      </c>
      <c r="F312" s="429">
        <v>450000</v>
      </c>
      <c r="G312" s="429">
        <v>0</v>
      </c>
      <c r="H312" s="429">
        <f>[2]Nov!I345</f>
        <v>0</v>
      </c>
      <c r="I312" s="429">
        <f t="shared" ref="I312:I313" si="125">G312+H312</f>
        <v>0</v>
      </c>
      <c r="J312" s="429">
        <f t="shared" ref="J312:J313" si="126">F312-I312</f>
        <v>450000</v>
      </c>
      <c r="K312" s="426"/>
    </row>
    <row r="313" spans="1:11" x14ac:dyDescent="0.25">
      <c r="A313" s="439"/>
      <c r="B313" s="427" t="s">
        <v>503</v>
      </c>
      <c r="C313" s="427" t="s">
        <v>398</v>
      </c>
      <c r="D313" s="426"/>
      <c r="E313" s="428" t="s">
        <v>399</v>
      </c>
      <c r="F313" s="429">
        <v>1200000</v>
      </c>
      <c r="G313" s="429">
        <v>800000</v>
      </c>
      <c r="H313" s="429">
        <f>[2]Nov!I346</f>
        <v>400000</v>
      </c>
      <c r="I313" s="429">
        <f t="shared" si="125"/>
        <v>1200000</v>
      </c>
      <c r="J313" s="429">
        <f t="shared" si="126"/>
        <v>0</v>
      </c>
      <c r="K313" s="426"/>
    </row>
    <row r="314" spans="1:11" x14ac:dyDescent="0.25">
      <c r="A314" s="438"/>
      <c r="B314" s="419" t="s">
        <v>503</v>
      </c>
      <c r="C314" s="419" t="s">
        <v>404</v>
      </c>
      <c r="D314" s="418"/>
      <c r="E314" s="420" t="s">
        <v>68</v>
      </c>
      <c r="F314" s="421">
        <f>F315</f>
        <v>8850000</v>
      </c>
      <c r="G314" s="421">
        <f t="shared" ref="G314:J314" si="127">G315</f>
        <v>0</v>
      </c>
      <c r="H314" s="421">
        <f t="shared" si="127"/>
        <v>8850000</v>
      </c>
      <c r="I314" s="421">
        <f t="shared" si="127"/>
        <v>8850000</v>
      </c>
      <c r="J314" s="421">
        <f t="shared" si="127"/>
        <v>0</v>
      </c>
      <c r="K314" s="421"/>
    </row>
    <row r="315" spans="1:11" x14ac:dyDescent="0.25">
      <c r="A315" s="440"/>
      <c r="B315" s="423" t="s">
        <v>503</v>
      </c>
      <c r="C315" s="423" t="s">
        <v>405</v>
      </c>
      <c r="D315" s="422"/>
      <c r="E315" s="424" t="s">
        <v>505</v>
      </c>
      <c r="F315" s="425">
        <f>SUM(F316:F316)</f>
        <v>8850000</v>
      </c>
      <c r="G315" s="425">
        <f t="shared" ref="G315:J315" si="128">SUM(G316:G316)</f>
        <v>0</v>
      </c>
      <c r="H315" s="425">
        <f t="shared" si="128"/>
        <v>8850000</v>
      </c>
      <c r="I315" s="425">
        <f t="shared" si="128"/>
        <v>8850000</v>
      </c>
      <c r="J315" s="425">
        <f t="shared" si="128"/>
        <v>0</v>
      </c>
      <c r="K315" s="425"/>
    </row>
    <row r="316" spans="1:11" x14ac:dyDescent="0.25">
      <c r="A316" s="439"/>
      <c r="B316" s="427" t="s">
        <v>503</v>
      </c>
      <c r="C316" s="427" t="s">
        <v>407</v>
      </c>
      <c r="D316" s="426"/>
      <c r="E316" s="428" t="s">
        <v>506</v>
      </c>
      <c r="F316" s="429">
        <v>8850000</v>
      </c>
      <c r="G316" s="429">
        <v>0</v>
      </c>
      <c r="H316" s="429">
        <f>[2]Nov!I349</f>
        <v>8850000</v>
      </c>
      <c r="I316" s="429">
        <f t="shared" ref="I316" si="129">G316+H316</f>
        <v>8850000</v>
      </c>
      <c r="J316" s="429">
        <f t="shared" ref="J316" si="130">F316-I316</f>
        <v>0</v>
      </c>
      <c r="K316" s="426"/>
    </row>
    <row r="317" spans="1:11" x14ac:dyDescent="0.25">
      <c r="A317" s="439"/>
      <c r="B317" s="427"/>
      <c r="C317" s="427"/>
      <c r="D317" s="426"/>
      <c r="E317" s="428"/>
      <c r="F317" s="429"/>
      <c r="G317" s="429"/>
      <c r="H317" s="429"/>
      <c r="I317" s="429"/>
      <c r="J317" s="429"/>
      <c r="K317" s="426"/>
    </row>
    <row r="318" spans="1:11" x14ac:dyDescent="0.25">
      <c r="A318" s="438"/>
      <c r="B318" s="419" t="s">
        <v>507</v>
      </c>
      <c r="C318" s="438"/>
      <c r="D318" s="418"/>
      <c r="E318" s="420" t="s">
        <v>508</v>
      </c>
      <c r="F318" s="421">
        <f>F319</f>
        <v>2240000</v>
      </c>
      <c r="G318" s="421">
        <f>G319</f>
        <v>0</v>
      </c>
      <c r="H318" s="421">
        <f>H319</f>
        <v>2240000</v>
      </c>
      <c r="I318" s="421">
        <f>I319</f>
        <v>2240000</v>
      </c>
      <c r="J318" s="421">
        <f>J319</f>
        <v>0</v>
      </c>
      <c r="K318" s="418"/>
    </row>
    <row r="319" spans="1:11" x14ac:dyDescent="0.25">
      <c r="A319" s="438"/>
      <c r="B319" s="419" t="s">
        <v>507</v>
      </c>
      <c r="C319" s="419" t="s">
        <v>359</v>
      </c>
      <c r="D319" s="418"/>
      <c r="E319" s="420" t="s">
        <v>67</v>
      </c>
      <c r="F319" s="421">
        <f>F320+F322</f>
        <v>2240000</v>
      </c>
      <c r="G319" s="421">
        <f>G320+G322</f>
        <v>0</v>
      </c>
      <c r="H319" s="421">
        <f>H320+H322</f>
        <v>2240000</v>
      </c>
      <c r="I319" s="421">
        <f>I320+I322</f>
        <v>2240000</v>
      </c>
      <c r="J319" s="421">
        <f>J320+J322</f>
        <v>0</v>
      </c>
      <c r="K319" s="418"/>
    </row>
    <row r="320" spans="1:11" x14ac:dyDescent="0.25">
      <c r="A320" s="440"/>
      <c r="B320" s="423" t="s">
        <v>507</v>
      </c>
      <c r="C320" s="423" t="s">
        <v>360</v>
      </c>
      <c r="D320" s="422"/>
      <c r="E320" s="424" t="s">
        <v>361</v>
      </c>
      <c r="F320" s="425">
        <f>SUM(F321)</f>
        <v>1040000</v>
      </c>
      <c r="G320" s="425">
        <f>SUM(G321)</f>
        <v>0</v>
      </c>
      <c r="H320" s="425">
        <f>SUM(H321)</f>
        <v>1040000</v>
      </c>
      <c r="I320" s="425">
        <f>SUM(I321)</f>
        <v>1040000</v>
      </c>
      <c r="J320" s="425">
        <f>SUM(J321)</f>
        <v>0</v>
      </c>
      <c r="K320" s="422"/>
    </row>
    <row r="321" spans="1:11" x14ac:dyDescent="0.25">
      <c r="A321" s="439"/>
      <c r="B321" s="427" t="s">
        <v>507</v>
      </c>
      <c r="C321" s="427" t="s">
        <v>368</v>
      </c>
      <c r="D321" s="426"/>
      <c r="E321" s="428" t="s">
        <v>369</v>
      </c>
      <c r="F321" s="429">
        <v>1040000</v>
      </c>
      <c r="G321" s="429">
        <v>0</v>
      </c>
      <c r="H321" s="429">
        <f>[2]Nov!I354</f>
        <v>1040000</v>
      </c>
      <c r="I321" s="429">
        <f t="shared" ref="I321" si="131">G321+H321</f>
        <v>1040000</v>
      </c>
      <c r="J321" s="429">
        <f t="shared" ref="J321" si="132">F321-I321</f>
        <v>0</v>
      </c>
      <c r="K321" s="426"/>
    </row>
    <row r="322" spans="1:11" x14ac:dyDescent="0.25">
      <c r="A322" s="440"/>
      <c r="B322" s="423" t="s">
        <v>507</v>
      </c>
      <c r="C322" s="423" t="s">
        <v>370</v>
      </c>
      <c r="D322" s="422"/>
      <c r="E322" s="424" t="s">
        <v>81</v>
      </c>
      <c r="F322" s="425">
        <f>SUM(F323:F324)</f>
        <v>1200000</v>
      </c>
      <c r="G322" s="425">
        <f>SUM(G323:G324)</f>
        <v>0</v>
      </c>
      <c r="H322" s="425">
        <f>SUM(H323:H324)</f>
        <v>1200000</v>
      </c>
      <c r="I322" s="425">
        <f>SUM(I323:I324)</f>
        <v>1200000</v>
      </c>
      <c r="J322" s="425">
        <f>SUM(J323:J324)</f>
        <v>0</v>
      </c>
      <c r="K322" s="422"/>
    </row>
    <row r="323" spans="1:11" x14ac:dyDescent="0.25">
      <c r="A323" s="439"/>
      <c r="B323" s="427" t="s">
        <v>507</v>
      </c>
      <c r="C323" s="427" t="s">
        <v>476</v>
      </c>
      <c r="D323" s="426"/>
      <c r="E323" s="428" t="s">
        <v>477</v>
      </c>
      <c r="F323" s="429">
        <v>450000</v>
      </c>
      <c r="G323" s="429">
        <v>0</v>
      </c>
      <c r="H323" s="429">
        <f>[2]Nov!I356</f>
        <v>450000</v>
      </c>
      <c r="I323" s="429">
        <f t="shared" ref="I323:I324" si="133">G323+H323</f>
        <v>450000</v>
      </c>
      <c r="J323" s="429">
        <f t="shared" ref="J323:J324" si="134">F323-I323</f>
        <v>0</v>
      </c>
      <c r="K323" s="426"/>
    </row>
    <row r="324" spans="1:11" x14ac:dyDescent="0.25">
      <c r="A324" s="450"/>
      <c r="B324" s="451" t="s">
        <v>507</v>
      </c>
      <c r="C324" s="451" t="s">
        <v>478</v>
      </c>
      <c r="D324" s="452"/>
      <c r="E324" s="453" t="s">
        <v>479</v>
      </c>
      <c r="F324" s="454">
        <v>750000</v>
      </c>
      <c r="G324" s="454">
        <v>0</v>
      </c>
      <c r="H324" s="429">
        <f>[2]Nov!I357</f>
        <v>750000</v>
      </c>
      <c r="I324" s="454">
        <f t="shared" si="133"/>
        <v>750000</v>
      </c>
      <c r="J324" s="454">
        <f t="shared" si="134"/>
        <v>0</v>
      </c>
      <c r="K324" s="452"/>
    </row>
    <row r="325" spans="1:11" x14ac:dyDescent="0.25">
      <c r="A325" s="439"/>
      <c r="B325" s="427"/>
      <c r="C325" s="427"/>
      <c r="D325" s="426"/>
      <c r="E325" s="428"/>
      <c r="F325" s="429"/>
      <c r="G325" s="429"/>
      <c r="H325" s="429"/>
      <c r="I325" s="429"/>
      <c r="J325" s="429"/>
      <c r="K325" s="426"/>
    </row>
    <row r="326" spans="1:11" ht="38.25" x14ac:dyDescent="0.25">
      <c r="A326" s="455"/>
      <c r="B326" s="460" t="s">
        <v>509</v>
      </c>
      <c r="C326" s="455"/>
      <c r="D326" s="457"/>
      <c r="E326" s="461" t="s">
        <v>510</v>
      </c>
      <c r="F326" s="462">
        <f t="shared" ref="F326:J327" si="135">F327</f>
        <v>3250000</v>
      </c>
      <c r="G326" s="462">
        <f t="shared" si="135"/>
        <v>0</v>
      </c>
      <c r="H326" s="462">
        <f t="shared" si="135"/>
        <v>3250000</v>
      </c>
      <c r="I326" s="462">
        <f t="shared" si="135"/>
        <v>3250000</v>
      </c>
      <c r="J326" s="462">
        <f t="shared" si="135"/>
        <v>0</v>
      </c>
      <c r="K326" s="457"/>
    </row>
    <row r="327" spans="1:11" x14ac:dyDescent="0.25">
      <c r="A327" s="438"/>
      <c r="B327" s="419" t="s">
        <v>509</v>
      </c>
      <c r="C327" s="419" t="s">
        <v>359</v>
      </c>
      <c r="D327" s="418"/>
      <c r="E327" s="420" t="s">
        <v>67</v>
      </c>
      <c r="F327" s="421">
        <f t="shared" si="135"/>
        <v>3250000</v>
      </c>
      <c r="G327" s="421">
        <f t="shared" si="135"/>
        <v>0</v>
      </c>
      <c r="H327" s="421">
        <f t="shared" si="135"/>
        <v>3250000</v>
      </c>
      <c r="I327" s="421">
        <f t="shared" si="135"/>
        <v>3250000</v>
      </c>
      <c r="J327" s="421">
        <f t="shared" si="135"/>
        <v>0</v>
      </c>
      <c r="K327" s="418"/>
    </row>
    <row r="328" spans="1:11" x14ac:dyDescent="0.25">
      <c r="A328" s="440"/>
      <c r="B328" s="423" t="s">
        <v>509</v>
      </c>
      <c r="C328" s="423" t="s">
        <v>460</v>
      </c>
      <c r="D328" s="422"/>
      <c r="E328" s="424" t="s">
        <v>461</v>
      </c>
      <c r="F328" s="425">
        <f>SUM(F329)</f>
        <v>3250000</v>
      </c>
      <c r="G328" s="425">
        <f>SUM(G329)</f>
        <v>0</v>
      </c>
      <c r="H328" s="425">
        <f>SUM(H329)</f>
        <v>3250000</v>
      </c>
      <c r="I328" s="425">
        <f>SUM(I329)</f>
        <v>3250000</v>
      </c>
      <c r="J328" s="425">
        <f>SUM(J329)</f>
        <v>0</v>
      </c>
      <c r="K328" s="422"/>
    </row>
    <row r="329" spans="1:11" x14ac:dyDescent="0.25">
      <c r="A329" s="439"/>
      <c r="B329" s="427" t="s">
        <v>509</v>
      </c>
      <c r="C329" s="427" t="s">
        <v>462</v>
      </c>
      <c r="D329" s="426"/>
      <c r="E329" s="428" t="s">
        <v>463</v>
      </c>
      <c r="F329" s="429">
        <v>3250000</v>
      </c>
      <c r="G329" s="429">
        <v>0</v>
      </c>
      <c r="H329" s="429">
        <f>[2]Nov!I362</f>
        <v>3250000</v>
      </c>
      <c r="I329" s="429">
        <f t="shared" ref="I329" si="136">G329+H329</f>
        <v>3250000</v>
      </c>
      <c r="J329" s="429">
        <f t="shared" ref="J329" si="137">F329-I329</f>
        <v>0</v>
      </c>
      <c r="K329" s="426"/>
    </row>
    <row r="330" spans="1:11" x14ac:dyDescent="0.25">
      <c r="A330" s="439"/>
      <c r="B330" s="427"/>
      <c r="C330" s="427"/>
      <c r="D330" s="426"/>
      <c r="E330" s="428"/>
      <c r="F330" s="429"/>
      <c r="G330" s="429"/>
      <c r="H330" s="429"/>
      <c r="I330" s="429"/>
      <c r="J330" s="429"/>
      <c r="K330" s="426"/>
    </row>
    <row r="331" spans="1:11" x14ac:dyDescent="0.25">
      <c r="A331" s="438"/>
      <c r="B331" s="419" t="s">
        <v>511</v>
      </c>
      <c r="C331" s="438"/>
      <c r="D331" s="418"/>
      <c r="E331" s="420" t="s">
        <v>512</v>
      </c>
      <c r="F331" s="421">
        <f>F332</f>
        <v>2250000</v>
      </c>
      <c r="G331" s="421">
        <f>G332</f>
        <v>0</v>
      </c>
      <c r="H331" s="421">
        <f>H332</f>
        <v>2250000</v>
      </c>
      <c r="I331" s="421">
        <f>I332</f>
        <v>2250000</v>
      </c>
      <c r="J331" s="421">
        <f>J332</f>
        <v>0</v>
      </c>
      <c r="K331" s="418"/>
    </row>
    <row r="332" spans="1:11" x14ac:dyDescent="0.25">
      <c r="A332" s="438"/>
      <c r="B332" s="419" t="s">
        <v>511</v>
      </c>
      <c r="C332" s="419" t="s">
        <v>359</v>
      </c>
      <c r="D332" s="418"/>
      <c r="E332" s="420" t="s">
        <v>67</v>
      </c>
      <c r="F332" s="421">
        <f>F333+F337</f>
        <v>2250000</v>
      </c>
      <c r="G332" s="421">
        <f>G333+G337</f>
        <v>0</v>
      </c>
      <c r="H332" s="421">
        <f>H333+H337</f>
        <v>2250000</v>
      </c>
      <c r="I332" s="421">
        <f>I333+I337</f>
        <v>2250000</v>
      </c>
      <c r="J332" s="421">
        <f>J333+J337</f>
        <v>0</v>
      </c>
      <c r="K332" s="418"/>
    </row>
    <row r="333" spans="1:11" x14ac:dyDescent="0.25">
      <c r="A333" s="440"/>
      <c r="B333" s="423" t="s">
        <v>511</v>
      </c>
      <c r="C333" s="423" t="s">
        <v>360</v>
      </c>
      <c r="D333" s="422"/>
      <c r="E333" s="424" t="s">
        <v>361</v>
      </c>
      <c r="F333" s="425">
        <f>SUM(F334:F336)</f>
        <v>1800000</v>
      </c>
      <c r="G333" s="425">
        <f>SUM(G334:G336)</f>
        <v>0</v>
      </c>
      <c r="H333" s="425">
        <f>SUM(H334:H336)</f>
        <v>1800000</v>
      </c>
      <c r="I333" s="425">
        <f>SUM(I334:I336)</f>
        <v>1800000</v>
      </c>
      <c r="J333" s="425">
        <f>SUM(J334:J336)</f>
        <v>0</v>
      </c>
      <c r="K333" s="422"/>
    </row>
    <row r="334" spans="1:11" x14ac:dyDescent="0.25">
      <c r="A334" s="439"/>
      <c r="B334" s="427" t="s">
        <v>511</v>
      </c>
      <c r="C334" s="427" t="s">
        <v>362</v>
      </c>
      <c r="D334" s="426"/>
      <c r="E334" s="428" t="s">
        <v>363</v>
      </c>
      <c r="F334" s="429">
        <v>300000</v>
      </c>
      <c r="G334" s="429">
        <v>0</v>
      </c>
      <c r="H334" s="429">
        <f>[2]Nov!I367</f>
        <v>300000</v>
      </c>
      <c r="I334" s="429">
        <f t="shared" ref="I334:I336" si="138">G334+H334</f>
        <v>300000</v>
      </c>
      <c r="J334" s="429">
        <f t="shared" ref="J334:J336" si="139">F334-I334</f>
        <v>0</v>
      </c>
      <c r="K334" s="426"/>
    </row>
    <row r="335" spans="1:11" x14ac:dyDescent="0.25">
      <c r="A335" s="439"/>
      <c r="B335" s="427" t="s">
        <v>511</v>
      </c>
      <c r="C335" s="427" t="s">
        <v>366</v>
      </c>
      <c r="D335" s="426"/>
      <c r="E335" s="428" t="s">
        <v>367</v>
      </c>
      <c r="F335" s="429">
        <v>300000</v>
      </c>
      <c r="G335" s="429">
        <v>0</v>
      </c>
      <c r="H335" s="429">
        <f>[2]Nov!I368</f>
        <v>300000</v>
      </c>
      <c r="I335" s="429">
        <f t="shared" si="138"/>
        <v>300000</v>
      </c>
      <c r="J335" s="429">
        <f t="shared" si="139"/>
        <v>0</v>
      </c>
      <c r="K335" s="426"/>
    </row>
    <row r="336" spans="1:11" x14ac:dyDescent="0.25">
      <c r="A336" s="439"/>
      <c r="B336" s="427" t="s">
        <v>511</v>
      </c>
      <c r="C336" s="427" t="s">
        <v>368</v>
      </c>
      <c r="D336" s="426"/>
      <c r="E336" s="428" t="s">
        <v>369</v>
      </c>
      <c r="F336" s="429">
        <v>1200000</v>
      </c>
      <c r="G336" s="429">
        <v>0</v>
      </c>
      <c r="H336" s="429">
        <f>[2]Nov!I369</f>
        <v>1200000</v>
      </c>
      <c r="I336" s="429">
        <f t="shared" si="138"/>
        <v>1200000</v>
      </c>
      <c r="J336" s="429">
        <f t="shared" si="139"/>
        <v>0</v>
      </c>
      <c r="K336" s="426"/>
    </row>
    <row r="337" spans="1:11" x14ac:dyDescent="0.25">
      <c r="A337" s="440"/>
      <c r="B337" s="423" t="s">
        <v>511</v>
      </c>
      <c r="C337" s="423" t="s">
        <v>370</v>
      </c>
      <c r="D337" s="422"/>
      <c r="E337" s="424" t="s">
        <v>81</v>
      </c>
      <c r="F337" s="425">
        <f>SUM(F338)</f>
        <v>450000</v>
      </c>
      <c r="G337" s="425">
        <f>SUM(G338)</f>
        <v>0</v>
      </c>
      <c r="H337" s="425">
        <f>SUM(H338)</f>
        <v>450000</v>
      </c>
      <c r="I337" s="425">
        <f>SUM(I338)</f>
        <v>450000</v>
      </c>
      <c r="J337" s="425">
        <f>SUM(J338)</f>
        <v>0</v>
      </c>
      <c r="K337" s="422"/>
    </row>
    <row r="338" spans="1:11" x14ac:dyDescent="0.25">
      <c r="A338" s="439"/>
      <c r="B338" s="427" t="s">
        <v>511</v>
      </c>
      <c r="C338" s="427" t="s">
        <v>476</v>
      </c>
      <c r="D338" s="426"/>
      <c r="E338" s="428" t="s">
        <v>477</v>
      </c>
      <c r="F338" s="429">
        <v>450000</v>
      </c>
      <c r="G338" s="429">
        <v>0</v>
      </c>
      <c r="H338" s="429">
        <f>[2]Nov!I371</f>
        <v>450000</v>
      </c>
      <c r="I338" s="429">
        <f t="shared" ref="I338" si="140">G338+H338</f>
        <v>450000</v>
      </c>
      <c r="J338" s="429">
        <f t="shared" ref="J338" si="141">F338-I338</f>
        <v>0</v>
      </c>
      <c r="K338" s="426"/>
    </row>
    <row r="339" spans="1:11" x14ac:dyDescent="0.25">
      <c r="A339" s="439"/>
      <c r="B339" s="427"/>
      <c r="C339" s="427"/>
      <c r="D339" s="426"/>
      <c r="E339" s="428"/>
      <c r="F339" s="429"/>
      <c r="G339" s="429"/>
      <c r="H339" s="429"/>
      <c r="I339" s="429"/>
      <c r="J339" s="429"/>
      <c r="K339" s="426"/>
    </row>
    <row r="340" spans="1:11" x14ac:dyDescent="0.25">
      <c r="A340" s="438"/>
      <c r="B340" s="419" t="s">
        <v>513</v>
      </c>
      <c r="C340" s="438"/>
      <c r="D340" s="418"/>
      <c r="E340" s="420" t="s">
        <v>514</v>
      </c>
      <c r="F340" s="421">
        <f>F341</f>
        <v>2502000</v>
      </c>
      <c r="G340" s="421">
        <f>G341</f>
        <v>621000</v>
      </c>
      <c r="H340" s="421">
        <f>H341</f>
        <v>1863000</v>
      </c>
      <c r="I340" s="421">
        <f>I341</f>
        <v>2484000</v>
      </c>
      <c r="J340" s="421">
        <f>J341</f>
        <v>18000</v>
      </c>
      <c r="K340" s="418"/>
    </row>
    <row r="341" spans="1:11" x14ac:dyDescent="0.25">
      <c r="A341" s="438"/>
      <c r="B341" s="419" t="s">
        <v>513</v>
      </c>
      <c r="C341" s="419" t="s">
        <v>359</v>
      </c>
      <c r="D341" s="418"/>
      <c r="E341" s="420" t="s">
        <v>67</v>
      </c>
      <c r="F341" s="421">
        <f>F342+F344</f>
        <v>2502000</v>
      </c>
      <c r="G341" s="421">
        <f>G342+G344</f>
        <v>621000</v>
      </c>
      <c r="H341" s="421">
        <f>H342+H344</f>
        <v>1863000</v>
      </c>
      <c r="I341" s="421">
        <f>I342+I344</f>
        <v>2484000</v>
      </c>
      <c r="J341" s="421">
        <f>J342+J344</f>
        <v>18000</v>
      </c>
      <c r="K341" s="418"/>
    </row>
    <row r="342" spans="1:11" x14ac:dyDescent="0.25">
      <c r="A342" s="440"/>
      <c r="B342" s="423" t="s">
        <v>513</v>
      </c>
      <c r="C342" s="423" t="s">
        <v>360</v>
      </c>
      <c r="D342" s="422"/>
      <c r="E342" s="424" t="s">
        <v>361</v>
      </c>
      <c r="F342" s="425">
        <f>SUM(F343)</f>
        <v>342000</v>
      </c>
      <c r="G342" s="425">
        <f>SUM(G343)</f>
        <v>81000</v>
      </c>
      <c r="H342" s="425">
        <f>SUM(H343)</f>
        <v>243000</v>
      </c>
      <c r="I342" s="425">
        <f>SUM(I343)</f>
        <v>324000</v>
      </c>
      <c r="J342" s="425">
        <f>SUM(J343)</f>
        <v>18000</v>
      </c>
      <c r="K342" s="422"/>
    </row>
    <row r="343" spans="1:11" x14ac:dyDescent="0.25">
      <c r="A343" s="439"/>
      <c r="B343" s="427" t="s">
        <v>513</v>
      </c>
      <c r="C343" s="427" t="s">
        <v>515</v>
      </c>
      <c r="D343" s="426"/>
      <c r="E343" s="428" t="s">
        <v>516</v>
      </c>
      <c r="F343" s="429">
        <v>342000</v>
      </c>
      <c r="G343" s="429">
        <v>81000</v>
      </c>
      <c r="H343" s="429">
        <f>[2]Nov!I376</f>
        <v>243000</v>
      </c>
      <c r="I343" s="429">
        <f t="shared" ref="I343" si="142">G343+H343</f>
        <v>324000</v>
      </c>
      <c r="J343" s="429">
        <f t="shared" ref="J343" si="143">F343-I343</f>
        <v>18000</v>
      </c>
      <c r="K343" s="426"/>
    </row>
    <row r="344" spans="1:11" x14ac:dyDescent="0.25">
      <c r="A344" s="440"/>
      <c r="B344" s="423" t="s">
        <v>513</v>
      </c>
      <c r="C344" s="423" t="s">
        <v>370</v>
      </c>
      <c r="D344" s="422"/>
      <c r="E344" s="424" t="s">
        <v>81</v>
      </c>
      <c r="F344" s="425">
        <f>SUM(F345)</f>
        <v>2160000</v>
      </c>
      <c r="G344" s="425">
        <f>SUM(G345)</f>
        <v>540000</v>
      </c>
      <c r="H344" s="425">
        <f>SUM(H345)</f>
        <v>1620000</v>
      </c>
      <c r="I344" s="425">
        <f>SUM(I345)</f>
        <v>2160000</v>
      </c>
      <c r="J344" s="425">
        <f>SUM(J345)</f>
        <v>0</v>
      </c>
      <c r="K344" s="422"/>
    </row>
    <row r="345" spans="1:11" x14ac:dyDescent="0.25">
      <c r="A345" s="439"/>
      <c r="B345" s="427" t="s">
        <v>513</v>
      </c>
      <c r="C345" s="427" t="s">
        <v>398</v>
      </c>
      <c r="D345" s="426"/>
      <c r="E345" s="428" t="s">
        <v>399</v>
      </c>
      <c r="F345" s="429">
        <v>2160000</v>
      </c>
      <c r="G345" s="429">
        <v>540000</v>
      </c>
      <c r="H345" s="429">
        <f>[2]Nov!I378</f>
        <v>1620000</v>
      </c>
      <c r="I345" s="429">
        <f t="shared" ref="I345" si="144">G345+H345</f>
        <v>2160000</v>
      </c>
      <c r="J345" s="429">
        <f t="shared" ref="J345" si="145">F345-I345</f>
        <v>0</v>
      </c>
      <c r="K345" s="426"/>
    </row>
    <row r="346" spans="1:11" x14ac:dyDescent="0.25">
      <c r="A346" s="439"/>
      <c r="B346" s="427"/>
      <c r="C346" s="427"/>
      <c r="D346" s="426"/>
      <c r="E346" s="428"/>
      <c r="F346" s="429"/>
      <c r="G346" s="429"/>
      <c r="H346" s="429"/>
      <c r="I346" s="429"/>
      <c r="J346" s="429"/>
      <c r="K346" s="426"/>
    </row>
    <row r="347" spans="1:11" x14ac:dyDescent="0.25">
      <c r="A347" s="438"/>
      <c r="B347" s="419" t="s">
        <v>517</v>
      </c>
      <c r="C347" s="438"/>
      <c r="D347" s="418"/>
      <c r="E347" s="420" t="s">
        <v>518</v>
      </c>
      <c r="F347" s="421">
        <f t="shared" ref="F347:J348" si="146">F348</f>
        <v>6480000</v>
      </c>
      <c r="G347" s="421">
        <f t="shared" si="146"/>
        <v>1620000</v>
      </c>
      <c r="H347" s="421">
        <f t="shared" si="146"/>
        <v>4860000</v>
      </c>
      <c r="I347" s="421">
        <f t="shared" si="146"/>
        <v>6480000</v>
      </c>
      <c r="J347" s="421">
        <f t="shared" si="146"/>
        <v>0</v>
      </c>
      <c r="K347" s="418"/>
    </row>
    <row r="348" spans="1:11" x14ac:dyDescent="0.25">
      <c r="A348" s="438"/>
      <c r="B348" s="419" t="s">
        <v>517</v>
      </c>
      <c r="C348" s="419" t="s">
        <v>359</v>
      </c>
      <c r="D348" s="418"/>
      <c r="E348" s="420" t="s">
        <v>67</v>
      </c>
      <c r="F348" s="421">
        <f t="shared" si="146"/>
        <v>6480000</v>
      </c>
      <c r="G348" s="421">
        <f t="shared" si="146"/>
        <v>1620000</v>
      </c>
      <c r="H348" s="421">
        <f t="shared" si="146"/>
        <v>4860000</v>
      </c>
      <c r="I348" s="421">
        <f t="shared" si="146"/>
        <v>6480000</v>
      </c>
      <c r="J348" s="421">
        <f t="shared" si="146"/>
        <v>0</v>
      </c>
      <c r="K348" s="418"/>
    </row>
    <row r="349" spans="1:11" x14ac:dyDescent="0.25">
      <c r="A349" s="440"/>
      <c r="B349" s="423" t="s">
        <v>517</v>
      </c>
      <c r="C349" s="423" t="s">
        <v>460</v>
      </c>
      <c r="D349" s="422"/>
      <c r="E349" s="424" t="s">
        <v>461</v>
      </c>
      <c r="F349" s="425">
        <f>SUM(F350)</f>
        <v>6480000</v>
      </c>
      <c r="G349" s="425">
        <f>SUM(G350)</f>
        <v>1620000</v>
      </c>
      <c r="H349" s="425">
        <f>SUM(H350)</f>
        <v>4860000</v>
      </c>
      <c r="I349" s="425">
        <f>SUM(I350)</f>
        <v>6480000</v>
      </c>
      <c r="J349" s="425">
        <f>SUM(J350)</f>
        <v>0</v>
      </c>
      <c r="K349" s="422"/>
    </row>
    <row r="350" spans="1:11" x14ac:dyDescent="0.25">
      <c r="A350" s="439"/>
      <c r="B350" s="427" t="s">
        <v>517</v>
      </c>
      <c r="C350" s="427" t="s">
        <v>462</v>
      </c>
      <c r="D350" s="426"/>
      <c r="E350" s="428" t="s">
        <v>463</v>
      </c>
      <c r="F350" s="429">
        <v>6480000</v>
      </c>
      <c r="G350" s="429">
        <v>1620000</v>
      </c>
      <c r="H350" s="429">
        <f>[2]Nov!I385</f>
        <v>4860000</v>
      </c>
      <c r="I350" s="429">
        <f t="shared" ref="I350" si="147">G350+H350</f>
        <v>6480000</v>
      </c>
      <c r="J350" s="429">
        <f t="shared" ref="J350" si="148">F350-I350</f>
        <v>0</v>
      </c>
      <c r="K350" s="426"/>
    </row>
    <row r="351" spans="1:11" x14ac:dyDescent="0.25">
      <c r="A351" s="439"/>
      <c r="B351" s="427"/>
      <c r="C351" s="427"/>
      <c r="D351" s="426"/>
      <c r="E351" s="428"/>
      <c r="F351" s="429"/>
      <c r="G351" s="429"/>
      <c r="H351" s="429"/>
      <c r="I351" s="429"/>
      <c r="J351" s="429"/>
      <c r="K351" s="426"/>
    </row>
    <row r="352" spans="1:11" x14ac:dyDescent="0.25">
      <c r="A352" s="438"/>
      <c r="B352" s="419" t="s">
        <v>519</v>
      </c>
      <c r="C352" s="438"/>
      <c r="D352" s="418"/>
      <c r="E352" s="420" t="s">
        <v>520</v>
      </c>
      <c r="F352" s="421">
        <f>F353</f>
        <v>16367500</v>
      </c>
      <c r="G352" s="421">
        <f>G353</f>
        <v>1657500</v>
      </c>
      <c r="H352" s="421">
        <f>H353</f>
        <v>14095750</v>
      </c>
      <c r="I352" s="421">
        <f>I353</f>
        <v>15753250</v>
      </c>
      <c r="J352" s="421">
        <f>J353</f>
        <v>614250</v>
      </c>
      <c r="K352" s="418"/>
    </row>
    <row r="353" spans="1:11" x14ac:dyDescent="0.25">
      <c r="A353" s="438"/>
      <c r="B353" s="419" t="s">
        <v>519</v>
      </c>
      <c r="C353" s="419" t="s">
        <v>359</v>
      </c>
      <c r="D353" s="418"/>
      <c r="E353" s="420" t="s">
        <v>67</v>
      </c>
      <c r="F353" s="421">
        <f>F354+F358</f>
        <v>16367500</v>
      </c>
      <c r="G353" s="421">
        <f>G354+G358</f>
        <v>1657500</v>
      </c>
      <c r="H353" s="421">
        <f>H354+H358</f>
        <v>14095750</v>
      </c>
      <c r="I353" s="421">
        <f>I354+I358</f>
        <v>15753250</v>
      </c>
      <c r="J353" s="421">
        <f>J354+J358</f>
        <v>614250</v>
      </c>
      <c r="K353" s="418"/>
    </row>
    <row r="354" spans="1:11" x14ac:dyDescent="0.25">
      <c r="A354" s="440"/>
      <c r="B354" s="423" t="s">
        <v>519</v>
      </c>
      <c r="C354" s="423" t="s">
        <v>360</v>
      </c>
      <c r="D354" s="422"/>
      <c r="E354" s="424" t="s">
        <v>361</v>
      </c>
      <c r="F354" s="425">
        <f>SUM(F355:F357)</f>
        <v>3497500</v>
      </c>
      <c r="G354" s="425">
        <f>SUM(G355:G357)</f>
        <v>585000</v>
      </c>
      <c r="H354" s="425">
        <f>SUM(H355:H357)</f>
        <v>2298250</v>
      </c>
      <c r="I354" s="425">
        <f>SUM(I355:I357)</f>
        <v>2883250</v>
      </c>
      <c r="J354" s="425">
        <f>SUM(J355:J357)</f>
        <v>614250</v>
      </c>
      <c r="K354" s="422"/>
    </row>
    <row r="355" spans="1:11" x14ac:dyDescent="0.25">
      <c r="A355" s="439"/>
      <c r="B355" s="427" t="s">
        <v>519</v>
      </c>
      <c r="C355" s="427" t="s">
        <v>362</v>
      </c>
      <c r="D355" s="426"/>
      <c r="E355" s="428" t="s">
        <v>363</v>
      </c>
      <c r="F355" s="429">
        <v>180000</v>
      </c>
      <c r="G355" s="429">
        <v>0</v>
      </c>
      <c r="H355" s="429">
        <f>[2]Nov!I390</f>
        <v>180000</v>
      </c>
      <c r="I355" s="429">
        <f t="shared" ref="I355:I357" si="149">G355+H355</f>
        <v>180000</v>
      </c>
      <c r="J355" s="429">
        <f t="shared" ref="J355:J357" si="150">F355-I355</f>
        <v>0</v>
      </c>
      <c r="K355" s="426"/>
    </row>
    <row r="356" spans="1:11" x14ac:dyDescent="0.25">
      <c r="A356" s="439"/>
      <c r="B356" s="427" t="s">
        <v>519</v>
      </c>
      <c r="C356" s="427" t="s">
        <v>366</v>
      </c>
      <c r="D356" s="426"/>
      <c r="E356" s="428" t="s">
        <v>367</v>
      </c>
      <c r="F356" s="429">
        <v>100000</v>
      </c>
      <c r="G356" s="429">
        <v>0</v>
      </c>
      <c r="H356" s="429">
        <f>[2]Nov!I391</f>
        <v>100000</v>
      </c>
      <c r="I356" s="429">
        <f t="shared" si="149"/>
        <v>100000</v>
      </c>
      <c r="J356" s="429">
        <f t="shared" si="150"/>
        <v>0</v>
      </c>
      <c r="K356" s="426"/>
    </row>
    <row r="357" spans="1:11" x14ac:dyDescent="0.25">
      <c r="A357" s="439"/>
      <c r="B357" s="427" t="s">
        <v>519</v>
      </c>
      <c r="C357" s="427" t="s">
        <v>368</v>
      </c>
      <c r="D357" s="426"/>
      <c r="E357" s="428" t="s">
        <v>369</v>
      </c>
      <c r="F357" s="429">
        <v>3217500</v>
      </c>
      <c r="G357" s="429">
        <v>585000</v>
      </c>
      <c r="H357" s="429">
        <f>[2]Nov!I392</f>
        <v>2018250</v>
      </c>
      <c r="I357" s="429">
        <f t="shared" si="149"/>
        <v>2603250</v>
      </c>
      <c r="J357" s="429">
        <f t="shared" si="150"/>
        <v>614250</v>
      </c>
      <c r="K357" s="426"/>
    </row>
    <row r="358" spans="1:11" x14ac:dyDescent="0.25">
      <c r="A358" s="440"/>
      <c r="B358" s="423" t="s">
        <v>519</v>
      </c>
      <c r="C358" s="423" t="s">
        <v>370</v>
      </c>
      <c r="D358" s="422"/>
      <c r="E358" s="424" t="s">
        <v>81</v>
      </c>
      <c r="F358" s="425">
        <f>SUM(F359)</f>
        <v>12870000</v>
      </c>
      <c r="G358" s="425">
        <f>SUM(G359)</f>
        <v>1072500</v>
      </c>
      <c r="H358" s="425">
        <f>SUM(H359)</f>
        <v>11797500</v>
      </c>
      <c r="I358" s="425">
        <f>SUM(I359)</f>
        <v>12870000</v>
      </c>
      <c r="J358" s="425">
        <f>SUM(J359)</f>
        <v>0</v>
      </c>
      <c r="K358" s="422"/>
    </row>
    <row r="359" spans="1:11" x14ac:dyDescent="0.25">
      <c r="A359" s="439"/>
      <c r="B359" s="427" t="s">
        <v>519</v>
      </c>
      <c r="C359" s="427" t="s">
        <v>398</v>
      </c>
      <c r="D359" s="426"/>
      <c r="E359" s="428" t="s">
        <v>399</v>
      </c>
      <c r="F359" s="429">
        <v>12870000</v>
      </c>
      <c r="G359" s="429">
        <v>1072500</v>
      </c>
      <c r="H359" s="429">
        <f>[2]Nov!I394</f>
        <v>11797500</v>
      </c>
      <c r="I359" s="429">
        <f t="shared" ref="I359" si="151">G359+H359</f>
        <v>12870000</v>
      </c>
      <c r="J359" s="429">
        <f t="shared" ref="J359" si="152">F359-I359</f>
        <v>0</v>
      </c>
      <c r="K359" s="426"/>
    </row>
    <row r="360" spans="1:11" x14ac:dyDescent="0.25">
      <c r="A360" s="439"/>
      <c r="B360" s="427"/>
      <c r="C360" s="427"/>
      <c r="D360" s="426"/>
      <c r="E360" s="428"/>
      <c r="F360" s="429"/>
      <c r="G360" s="429"/>
      <c r="H360" s="429"/>
      <c r="I360" s="429"/>
      <c r="J360" s="429"/>
      <c r="K360" s="426"/>
    </row>
    <row r="361" spans="1:11" x14ac:dyDescent="0.25">
      <c r="A361" s="438"/>
      <c r="B361" s="419" t="s">
        <v>521</v>
      </c>
      <c r="C361" s="438"/>
      <c r="D361" s="418"/>
      <c r="E361" s="420" t="s">
        <v>522</v>
      </c>
      <c r="F361" s="421">
        <f>F362</f>
        <v>2270000</v>
      </c>
      <c r="G361" s="421">
        <f>G362</f>
        <v>0</v>
      </c>
      <c r="H361" s="421">
        <f>H362</f>
        <v>2270000</v>
      </c>
      <c r="I361" s="421">
        <f>I362</f>
        <v>2270000</v>
      </c>
      <c r="J361" s="421">
        <f>J362</f>
        <v>0</v>
      </c>
      <c r="K361" s="418"/>
    </row>
    <row r="362" spans="1:11" x14ac:dyDescent="0.25">
      <c r="A362" s="438"/>
      <c r="B362" s="419" t="s">
        <v>521</v>
      </c>
      <c r="C362" s="419" t="s">
        <v>359</v>
      </c>
      <c r="D362" s="418"/>
      <c r="E362" s="420" t="s">
        <v>67</v>
      </c>
      <c r="F362" s="421">
        <f>F363+F366</f>
        <v>2270000</v>
      </c>
      <c r="G362" s="421">
        <f>G363+G366</f>
        <v>0</v>
      </c>
      <c r="H362" s="421">
        <f>H363+H366</f>
        <v>2270000</v>
      </c>
      <c r="I362" s="421">
        <f>I363+I366</f>
        <v>2270000</v>
      </c>
      <c r="J362" s="421">
        <f>J363+J366</f>
        <v>0</v>
      </c>
      <c r="K362" s="418"/>
    </row>
    <row r="363" spans="1:11" x14ac:dyDescent="0.25">
      <c r="A363" s="440"/>
      <c r="B363" s="423" t="s">
        <v>521</v>
      </c>
      <c r="C363" s="423" t="s">
        <v>360</v>
      </c>
      <c r="D363" s="422"/>
      <c r="E363" s="424" t="s">
        <v>361</v>
      </c>
      <c r="F363" s="425">
        <f>SUM(F364:F365)</f>
        <v>1070000</v>
      </c>
      <c r="G363" s="425">
        <f>SUM(G364:G365)</f>
        <v>0</v>
      </c>
      <c r="H363" s="425">
        <f>SUM(H364:H365)</f>
        <v>1070000</v>
      </c>
      <c r="I363" s="425">
        <f>SUM(I364:I365)</f>
        <v>1070000</v>
      </c>
      <c r="J363" s="425">
        <f>SUM(J364:J365)</f>
        <v>0</v>
      </c>
      <c r="K363" s="422"/>
    </row>
    <row r="364" spans="1:11" x14ac:dyDescent="0.25">
      <c r="A364" s="439"/>
      <c r="B364" s="427" t="s">
        <v>521</v>
      </c>
      <c r="C364" s="427" t="s">
        <v>366</v>
      </c>
      <c r="D364" s="426"/>
      <c r="E364" s="428" t="s">
        <v>367</v>
      </c>
      <c r="F364" s="429">
        <v>30000</v>
      </c>
      <c r="G364" s="429">
        <v>0</v>
      </c>
      <c r="H364" s="429">
        <f>[2]Nov!I399</f>
        <v>30000</v>
      </c>
      <c r="I364" s="429">
        <f t="shared" ref="I364:I365" si="153">G364+H364</f>
        <v>30000</v>
      </c>
      <c r="J364" s="429">
        <f t="shared" ref="J364:J365" si="154">F364-I364</f>
        <v>0</v>
      </c>
      <c r="K364" s="426"/>
    </row>
    <row r="365" spans="1:11" x14ac:dyDescent="0.25">
      <c r="A365" s="439"/>
      <c r="B365" s="427" t="s">
        <v>521</v>
      </c>
      <c r="C365" s="427" t="s">
        <v>368</v>
      </c>
      <c r="D365" s="426"/>
      <c r="E365" s="428" t="s">
        <v>369</v>
      </c>
      <c r="F365" s="429">
        <v>1040000</v>
      </c>
      <c r="G365" s="429">
        <v>0</v>
      </c>
      <c r="H365" s="429">
        <f>[2]Nov!I400</f>
        <v>1040000</v>
      </c>
      <c r="I365" s="429">
        <f t="shared" si="153"/>
        <v>1040000</v>
      </c>
      <c r="J365" s="429">
        <f t="shared" si="154"/>
        <v>0</v>
      </c>
      <c r="K365" s="426"/>
    </row>
    <row r="366" spans="1:11" x14ac:dyDescent="0.25">
      <c r="A366" s="440"/>
      <c r="B366" s="423" t="s">
        <v>521</v>
      </c>
      <c r="C366" s="423" t="s">
        <v>370</v>
      </c>
      <c r="D366" s="422"/>
      <c r="E366" s="424" t="s">
        <v>81</v>
      </c>
      <c r="F366" s="425">
        <f>SUM(F367:F368)</f>
        <v>1200000</v>
      </c>
      <c r="G366" s="425">
        <f>SUM(G367:G368)</f>
        <v>0</v>
      </c>
      <c r="H366" s="425">
        <f>SUM(H367:H368)</f>
        <v>1200000</v>
      </c>
      <c r="I366" s="425">
        <f>SUM(I367:I368)</f>
        <v>1200000</v>
      </c>
      <c r="J366" s="425">
        <f>SUM(J367:J368)</f>
        <v>0</v>
      </c>
      <c r="K366" s="422"/>
    </row>
    <row r="367" spans="1:11" x14ac:dyDescent="0.25">
      <c r="A367" s="439"/>
      <c r="B367" s="427" t="s">
        <v>521</v>
      </c>
      <c r="C367" s="427" t="s">
        <v>476</v>
      </c>
      <c r="D367" s="426"/>
      <c r="E367" s="428" t="s">
        <v>477</v>
      </c>
      <c r="F367" s="429">
        <v>450000</v>
      </c>
      <c r="G367" s="429">
        <v>0</v>
      </c>
      <c r="H367" s="429">
        <f>[2]Nov!I402</f>
        <v>450000</v>
      </c>
      <c r="I367" s="429">
        <f t="shared" ref="I367:I368" si="155">G367+H367</f>
        <v>450000</v>
      </c>
      <c r="J367" s="429">
        <f t="shared" ref="J367:J368" si="156">F367-I367</f>
        <v>0</v>
      </c>
      <c r="K367" s="426"/>
    </row>
    <row r="368" spans="1:11" x14ac:dyDescent="0.25">
      <c r="A368" s="450"/>
      <c r="B368" s="451" t="s">
        <v>521</v>
      </c>
      <c r="C368" s="451" t="s">
        <v>478</v>
      </c>
      <c r="D368" s="452"/>
      <c r="E368" s="453" t="s">
        <v>479</v>
      </c>
      <c r="F368" s="454">
        <v>750000</v>
      </c>
      <c r="G368" s="454">
        <v>0</v>
      </c>
      <c r="H368" s="429">
        <f>[2]Nov!I403</f>
        <v>750000</v>
      </c>
      <c r="I368" s="454">
        <f t="shared" si="155"/>
        <v>750000</v>
      </c>
      <c r="J368" s="454">
        <f t="shared" si="156"/>
        <v>0</v>
      </c>
      <c r="K368" s="452"/>
    </row>
    <row r="369" spans="1:11" x14ac:dyDescent="0.25">
      <c r="A369" s="439"/>
      <c r="B369" s="427"/>
      <c r="C369" s="427"/>
      <c r="D369" s="426"/>
      <c r="E369" s="428"/>
      <c r="F369" s="429"/>
      <c r="G369" s="429"/>
      <c r="H369" s="429"/>
      <c r="I369" s="429"/>
      <c r="J369" s="429"/>
      <c r="K369" s="426"/>
    </row>
    <row r="370" spans="1:11" x14ac:dyDescent="0.25">
      <c r="A370" s="455"/>
      <c r="B370" s="456" t="s">
        <v>523</v>
      </c>
      <c r="C370" s="455"/>
      <c r="D370" s="458" t="s">
        <v>102</v>
      </c>
      <c r="E370" s="457"/>
      <c r="F370" s="459">
        <f>F371+F385+F398+F410+F420</f>
        <v>588646942</v>
      </c>
      <c r="G370" s="459">
        <f>G371+G385+G398+G410+G420</f>
        <v>18494130</v>
      </c>
      <c r="H370" s="459">
        <f>H371+H385+H398+H410+H420</f>
        <v>304450700</v>
      </c>
      <c r="I370" s="459">
        <f>I371+I385+I398+I410+I420</f>
        <v>322944830</v>
      </c>
      <c r="J370" s="459">
        <f>J371+J385+J398+J410+J420</f>
        <v>265702112</v>
      </c>
      <c r="K370" s="457"/>
    </row>
    <row r="371" spans="1:11" x14ac:dyDescent="0.25">
      <c r="A371" s="438"/>
      <c r="B371" s="419" t="s">
        <v>524</v>
      </c>
      <c r="C371" s="438"/>
      <c r="D371" s="418"/>
      <c r="E371" s="420" t="s">
        <v>525</v>
      </c>
      <c r="F371" s="421">
        <f>F372+F378</f>
        <v>531695942</v>
      </c>
      <c r="G371" s="421">
        <f>G372+G378</f>
        <v>0</v>
      </c>
      <c r="H371" s="421">
        <f>H372+H378</f>
        <v>294514700</v>
      </c>
      <c r="I371" s="421">
        <f>I372+I378</f>
        <v>294514700</v>
      </c>
      <c r="J371" s="421">
        <f>J372+J378</f>
        <v>237181242</v>
      </c>
      <c r="K371" s="418"/>
    </row>
    <row r="372" spans="1:11" x14ac:dyDescent="0.25">
      <c r="A372" s="438"/>
      <c r="B372" s="419" t="s">
        <v>524</v>
      </c>
      <c r="C372" s="419" t="s">
        <v>359</v>
      </c>
      <c r="D372" s="418"/>
      <c r="E372" s="420" t="s">
        <v>67</v>
      </c>
      <c r="F372" s="421">
        <f>F373</f>
        <v>1658462</v>
      </c>
      <c r="G372" s="421">
        <f>G373</f>
        <v>0</v>
      </c>
      <c r="H372" s="421">
        <f>H373</f>
        <v>644750</v>
      </c>
      <c r="I372" s="421">
        <f>I373</f>
        <v>644750</v>
      </c>
      <c r="J372" s="421">
        <f>J373</f>
        <v>1013712</v>
      </c>
      <c r="K372" s="418"/>
    </row>
    <row r="373" spans="1:11" x14ac:dyDescent="0.25">
      <c r="A373" s="440"/>
      <c r="B373" s="423" t="s">
        <v>524</v>
      </c>
      <c r="C373" s="423" t="s">
        <v>360</v>
      </c>
      <c r="D373" s="422"/>
      <c r="E373" s="424" t="s">
        <v>361</v>
      </c>
      <c r="F373" s="425">
        <f>SUM(F374:F377)</f>
        <v>1658462</v>
      </c>
      <c r="G373" s="425">
        <f>SUM(G374:G377)</f>
        <v>0</v>
      </c>
      <c r="H373" s="425">
        <f>SUM(H374:H377)</f>
        <v>644750</v>
      </c>
      <c r="I373" s="425">
        <f>SUM(I374:I377)</f>
        <v>644750</v>
      </c>
      <c r="J373" s="425">
        <f>SUM(J374:J377)</f>
        <v>1013712</v>
      </c>
      <c r="K373" s="422"/>
    </row>
    <row r="374" spans="1:11" x14ac:dyDescent="0.25">
      <c r="A374" s="439"/>
      <c r="B374" s="427" t="s">
        <v>524</v>
      </c>
      <c r="C374" s="427" t="s">
        <v>362</v>
      </c>
      <c r="D374" s="426"/>
      <c r="E374" s="428" t="s">
        <v>363</v>
      </c>
      <c r="F374" s="429">
        <v>125000</v>
      </c>
      <c r="G374" s="429">
        <v>0</v>
      </c>
      <c r="H374" s="429">
        <f>[2]Nov!I409</f>
        <v>50000</v>
      </c>
      <c r="I374" s="429">
        <f t="shared" ref="I374:I377" si="157">G374+H374</f>
        <v>50000</v>
      </c>
      <c r="J374" s="429">
        <f t="shared" ref="J374:J377" si="158">F374-I374</f>
        <v>75000</v>
      </c>
      <c r="K374" s="426"/>
    </row>
    <row r="375" spans="1:11" x14ac:dyDescent="0.25">
      <c r="A375" s="439"/>
      <c r="B375" s="427" t="s">
        <v>524</v>
      </c>
      <c r="C375" s="427" t="s">
        <v>366</v>
      </c>
      <c r="D375" s="426"/>
      <c r="E375" s="428" t="s">
        <v>367</v>
      </c>
      <c r="F375" s="429">
        <v>170962</v>
      </c>
      <c r="G375" s="429">
        <v>0</v>
      </c>
      <c r="H375" s="429">
        <f>[2]Nov!I410</f>
        <v>69750</v>
      </c>
      <c r="I375" s="429">
        <f t="shared" si="157"/>
        <v>69750</v>
      </c>
      <c r="J375" s="429">
        <f t="shared" si="158"/>
        <v>101212</v>
      </c>
      <c r="K375" s="426"/>
    </row>
    <row r="376" spans="1:11" x14ac:dyDescent="0.25">
      <c r="A376" s="439"/>
      <c r="B376" s="427" t="s">
        <v>524</v>
      </c>
      <c r="C376" s="427" t="s">
        <v>368</v>
      </c>
      <c r="D376" s="426"/>
      <c r="E376" s="428" t="s">
        <v>369</v>
      </c>
      <c r="F376" s="429">
        <v>487500</v>
      </c>
      <c r="G376" s="429">
        <v>0</v>
      </c>
      <c r="H376" s="429">
        <f>[2]Nov!I411</f>
        <v>0</v>
      </c>
      <c r="I376" s="429">
        <f t="shared" si="157"/>
        <v>0</v>
      </c>
      <c r="J376" s="429">
        <f t="shared" si="158"/>
        <v>487500</v>
      </c>
      <c r="K376" s="426"/>
    </row>
    <row r="377" spans="1:11" x14ac:dyDescent="0.25">
      <c r="A377" s="439"/>
      <c r="B377" s="427" t="s">
        <v>524</v>
      </c>
      <c r="C377" s="427" t="s">
        <v>487</v>
      </c>
      <c r="D377" s="426"/>
      <c r="E377" s="428" t="s">
        <v>488</v>
      </c>
      <c r="F377" s="429">
        <v>875000</v>
      </c>
      <c r="G377" s="429">
        <v>0</v>
      </c>
      <c r="H377" s="429">
        <f>[2]Nov!I412</f>
        <v>525000</v>
      </c>
      <c r="I377" s="429">
        <f t="shared" si="157"/>
        <v>525000</v>
      </c>
      <c r="J377" s="429">
        <f t="shared" si="158"/>
        <v>350000</v>
      </c>
      <c r="K377" s="426"/>
    </row>
    <row r="378" spans="1:11" x14ac:dyDescent="0.25">
      <c r="A378" s="438"/>
      <c r="B378" s="419" t="s">
        <v>524</v>
      </c>
      <c r="C378" s="419" t="s">
        <v>404</v>
      </c>
      <c r="D378" s="418"/>
      <c r="E378" s="420" t="s">
        <v>68</v>
      </c>
      <c r="F378" s="421">
        <f>F379</f>
        <v>530037480</v>
      </c>
      <c r="G378" s="421">
        <f>G379</f>
        <v>0</v>
      </c>
      <c r="H378" s="421">
        <f>H379</f>
        <v>293869950</v>
      </c>
      <c r="I378" s="421">
        <f>I379</f>
        <v>293869950</v>
      </c>
      <c r="J378" s="421">
        <f>J379</f>
        <v>236167530</v>
      </c>
      <c r="K378" s="418"/>
    </row>
    <row r="379" spans="1:11" x14ac:dyDescent="0.25">
      <c r="A379" s="440"/>
      <c r="B379" s="423" t="s">
        <v>524</v>
      </c>
      <c r="C379" s="423" t="s">
        <v>526</v>
      </c>
      <c r="D379" s="422"/>
      <c r="E379" s="424" t="s">
        <v>527</v>
      </c>
      <c r="F379" s="425">
        <f>SUM(F380:F383)</f>
        <v>530037480</v>
      </c>
      <c r="G379" s="425">
        <f>SUM(G380:G383)</f>
        <v>0</v>
      </c>
      <c r="H379" s="425">
        <f>SUM(H380:H383)</f>
        <v>293869950</v>
      </c>
      <c r="I379" s="425">
        <f>SUM(I380:I383)</f>
        <v>293869950</v>
      </c>
      <c r="J379" s="425">
        <f>SUM(J380:J383)</f>
        <v>236167530</v>
      </c>
      <c r="K379" s="422"/>
    </row>
    <row r="380" spans="1:11" x14ac:dyDescent="0.25">
      <c r="A380" s="439"/>
      <c r="B380" s="427" t="s">
        <v>524</v>
      </c>
      <c r="C380" s="427" t="s">
        <v>528</v>
      </c>
      <c r="D380" s="426"/>
      <c r="E380" s="428" t="s">
        <v>529</v>
      </c>
      <c r="F380" s="429">
        <v>7500000</v>
      </c>
      <c r="G380" s="429">
        <v>0</v>
      </c>
      <c r="H380" s="429">
        <f>[2]Nov!I415</f>
        <v>5000000</v>
      </c>
      <c r="I380" s="429">
        <f t="shared" ref="I380:I383" si="159">G380+H380</f>
        <v>5000000</v>
      </c>
      <c r="J380" s="429">
        <f t="shared" ref="J380:J383" si="160">F380-I380</f>
        <v>2500000</v>
      </c>
      <c r="K380" s="426"/>
    </row>
    <row r="381" spans="1:11" x14ac:dyDescent="0.25">
      <c r="A381" s="439"/>
      <c r="B381" s="427" t="s">
        <v>524</v>
      </c>
      <c r="C381" s="427" t="s">
        <v>530</v>
      </c>
      <c r="D381" s="426"/>
      <c r="E381" s="428" t="s">
        <v>531</v>
      </c>
      <c r="F381" s="429">
        <v>134322000</v>
      </c>
      <c r="G381" s="429">
        <v>0</v>
      </c>
      <c r="H381" s="429">
        <f>[2]Nov!I416</f>
        <v>98902000</v>
      </c>
      <c r="I381" s="429">
        <f t="shared" si="159"/>
        <v>98902000</v>
      </c>
      <c r="J381" s="429">
        <f t="shared" si="160"/>
        <v>35420000</v>
      </c>
      <c r="K381" s="426"/>
    </row>
    <row r="382" spans="1:11" x14ac:dyDescent="0.25">
      <c r="A382" s="439"/>
      <c r="B382" s="427" t="s">
        <v>524</v>
      </c>
      <c r="C382" s="427" t="s">
        <v>532</v>
      </c>
      <c r="D382" s="426"/>
      <c r="E382" s="428" t="s">
        <v>533</v>
      </c>
      <c r="F382" s="429">
        <v>359620000</v>
      </c>
      <c r="G382" s="429">
        <v>0</v>
      </c>
      <c r="H382" s="429">
        <f>[2]Nov!I417</f>
        <v>189967950</v>
      </c>
      <c r="I382" s="429">
        <f t="shared" si="159"/>
        <v>189967950</v>
      </c>
      <c r="J382" s="429">
        <f t="shared" si="160"/>
        <v>169652050</v>
      </c>
      <c r="K382" s="426"/>
    </row>
    <row r="383" spans="1:11" x14ac:dyDescent="0.25">
      <c r="A383" s="450"/>
      <c r="B383" s="451" t="s">
        <v>524</v>
      </c>
      <c r="C383" s="451" t="s">
        <v>534</v>
      </c>
      <c r="D383" s="452"/>
      <c r="E383" s="453" t="s">
        <v>535</v>
      </c>
      <c r="F383" s="454">
        <v>28595480</v>
      </c>
      <c r="G383" s="454">
        <v>0</v>
      </c>
      <c r="H383" s="429">
        <f>[2]Nov!I418</f>
        <v>0</v>
      </c>
      <c r="I383" s="454">
        <f t="shared" si="159"/>
        <v>0</v>
      </c>
      <c r="J383" s="454">
        <f t="shared" si="160"/>
        <v>28595480</v>
      </c>
      <c r="K383" s="452"/>
    </row>
    <row r="384" spans="1:11" x14ac:dyDescent="0.25">
      <c r="A384" s="450"/>
      <c r="B384" s="451"/>
      <c r="C384" s="451"/>
      <c r="D384" s="452"/>
      <c r="E384" s="453"/>
      <c r="F384" s="454"/>
      <c r="G384" s="454"/>
      <c r="H384" s="429"/>
      <c r="I384" s="454"/>
      <c r="J384" s="454"/>
      <c r="K384" s="452"/>
    </row>
    <row r="385" spans="1:11" ht="38.25" x14ac:dyDescent="0.25">
      <c r="A385" s="438"/>
      <c r="B385" s="449" t="s">
        <v>536</v>
      </c>
      <c r="C385" s="438"/>
      <c r="D385" s="418"/>
      <c r="E385" s="442" t="s">
        <v>537</v>
      </c>
      <c r="F385" s="443">
        <f>F386+F392</f>
        <v>0</v>
      </c>
      <c r="G385" s="443">
        <f>G386+G392</f>
        <v>0</v>
      </c>
      <c r="H385" s="443">
        <f>H386+H392</f>
        <v>0</v>
      </c>
      <c r="I385" s="443">
        <f>I386+I392</f>
        <v>0</v>
      </c>
      <c r="J385" s="443">
        <f>J386+J392</f>
        <v>0</v>
      </c>
      <c r="K385" s="418"/>
    </row>
    <row r="386" spans="1:11" x14ac:dyDescent="0.25">
      <c r="A386" s="438"/>
      <c r="B386" s="419" t="s">
        <v>536</v>
      </c>
      <c r="C386" s="419" t="s">
        <v>359</v>
      </c>
      <c r="D386" s="418"/>
      <c r="E386" s="420" t="s">
        <v>67</v>
      </c>
      <c r="F386" s="421">
        <f>F387</f>
        <v>0</v>
      </c>
      <c r="G386" s="421">
        <f>G387</f>
        <v>0</v>
      </c>
      <c r="H386" s="421">
        <f>H387</f>
        <v>0</v>
      </c>
      <c r="I386" s="421">
        <f>I387</f>
        <v>0</v>
      </c>
      <c r="J386" s="421">
        <f>J387</f>
        <v>0</v>
      </c>
      <c r="K386" s="418"/>
    </row>
    <row r="387" spans="1:11" x14ac:dyDescent="0.25">
      <c r="A387" s="440"/>
      <c r="B387" s="423" t="s">
        <v>536</v>
      </c>
      <c r="C387" s="423" t="s">
        <v>360</v>
      </c>
      <c r="D387" s="422"/>
      <c r="E387" s="424" t="s">
        <v>361</v>
      </c>
      <c r="F387" s="425">
        <f>SUM(F388:F391)</f>
        <v>0</v>
      </c>
      <c r="G387" s="425">
        <f>SUM(G388:G391)</f>
        <v>0</v>
      </c>
      <c r="H387" s="425">
        <f>SUM(H388:H391)</f>
        <v>0</v>
      </c>
      <c r="I387" s="425">
        <f>SUM(I388:I391)</f>
        <v>0</v>
      </c>
      <c r="J387" s="425">
        <f>SUM(J388:J391)</f>
        <v>0</v>
      </c>
      <c r="K387" s="422"/>
    </row>
    <row r="388" spans="1:11" x14ac:dyDescent="0.25">
      <c r="A388" s="439"/>
      <c r="B388" s="427" t="s">
        <v>536</v>
      </c>
      <c r="C388" s="427" t="s">
        <v>362</v>
      </c>
      <c r="D388" s="426"/>
      <c r="E388" s="428" t="s">
        <v>363</v>
      </c>
      <c r="F388" s="429">
        <v>0</v>
      </c>
      <c r="G388" s="429">
        <v>0</v>
      </c>
      <c r="H388" s="429">
        <f>[2]Nov!I426</f>
        <v>0</v>
      </c>
      <c r="I388" s="429">
        <f t="shared" ref="I388:I391" si="161">G388+H388</f>
        <v>0</v>
      </c>
      <c r="J388" s="429">
        <f t="shared" ref="J388:J391" si="162">F388-I388</f>
        <v>0</v>
      </c>
      <c r="K388" s="426"/>
    </row>
    <row r="389" spans="1:11" x14ac:dyDescent="0.25">
      <c r="A389" s="439"/>
      <c r="B389" s="427" t="s">
        <v>536</v>
      </c>
      <c r="C389" s="427" t="s">
        <v>366</v>
      </c>
      <c r="D389" s="426"/>
      <c r="E389" s="428" t="s">
        <v>367</v>
      </c>
      <c r="F389" s="429">
        <v>0</v>
      </c>
      <c r="G389" s="429">
        <v>0</v>
      </c>
      <c r="H389" s="429">
        <f>[2]Nov!I427</f>
        <v>0</v>
      </c>
      <c r="I389" s="429">
        <f t="shared" si="161"/>
        <v>0</v>
      </c>
      <c r="J389" s="429">
        <f t="shared" si="162"/>
        <v>0</v>
      </c>
      <c r="K389" s="426"/>
    </row>
    <row r="390" spans="1:11" x14ac:dyDescent="0.25">
      <c r="A390" s="439"/>
      <c r="B390" s="427" t="s">
        <v>536</v>
      </c>
      <c r="C390" s="427" t="s">
        <v>368</v>
      </c>
      <c r="D390" s="426"/>
      <c r="E390" s="428" t="s">
        <v>369</v>
      </c>
      <c r="F390" s="429">
        <v>0</v>
      </c>
      <c r="G390" s="429">
        <v>0</v>
      </c>
      <c r="H390" s="429">
        <f>[2]Nov!I428</f>
        <v>0</v>
      </c>
      <c r="I390" s="429">
        <f t="shared" si="161"/>
        <v>0</v>
      </c>
      <c r="J390" s="429">
        <f t="shared" si="162"/>
        <v>0</v>
      </c>
      <c r="K390" s="426"/>
    </row>
    <row r="391" spans="1:11" x14ac:dyDescent="0.25">
      <c r="A391" s="439"/>
      <c r="B391" s="427" t="s">
        <v>536</v>
      </c>
      <c r="C391" s="427" t="s">
        <v>487</v>
      </c>
      <c r="D391" s="426"/>
      <c r="E391" s="428" t="s">
        <v>488</v>
      </c>
      <c r="F391" s="429">
        <v>0</v>
      </c>
      <c r="G391" s="429">
        <v>0</v>
      </c>
      <c r="H391" s="429">
        <f>[2]Nov!I429</f>
        <v>0</v>
      </c>
      <c r="I391" s="429">
        <f t="shared" si="161"/>
        <v>0</v>
      </c>
      <c r="J391" s="429">
        <f t="shared" si="162"/>
        <v>0</v>
      </c>
      <c r="K391" s="426"/>
    </row>
    <row r="392" spans="1:11" x14ac:dyDescent="0.25">
      <c r="A392" s="438"/>
      <c r="B392" s="419" t="s">
        <v>536</v>
      </c>
      <c r="C392" s="419" t="s">
        <v>404</v>
      </c>
      <c r="D392" s="418"/>
      <c r="E392" s="420" t="s">
        <v>68</v>
      </c>
      <c r="F392" s="421">
        <f>F393</f>
        <v>0</v>
      </c>
      <c r="G392" s="421">
        <f>G393</f>
        <v>0</v>
      </c>
      <c r="H392" s="421">
        <f>H393</f>
        <v>0</v>
      </c>
      <c r="I392" s="421">
        <f>I393</f>
        <v>0</v>
      </c>
      <c r="J392" s="421">
        <f>J393</f>
        <v>0</v>
      </c>
      <c r="K392" s="418"/>
    </row>
    <row r="393" spans="1:11" x14ac:dyDescent="0.25">
      <c r="A393" s="440"/>
      <c r="B393" s="423" t="s">
        <v>536</v>
      </c>
      <c r="C393" s="423" t="s">
        <v>526</v>
      </c>
      <c r="D393" s="422"/>
      <c r="E393" s="424" t="s">
        <v>527</v>
      </c>
      <c r="F393" s="425">
        <f>SUM(F394:F396)</f>
        <v>0</v>
      </c>
      <c r="G393" s="425">
        <f>SUM(G394:G396)</f>
        <v>0</v>
      </c>
      <c r="H393" s="425">
        <f>SUM(H394:H396)</f>
        <v>0</v>
      </c>
      <c r="I393" s="425">
        <f>SUM(I394:I396)</f>
        <v>0</v>
      </c>
      <c r="J393" s="425">
        <f>SUM(J394:J396)</f>
        <v>0</v>
      </c>
      <c r="K393" s="422"/>
    </row>
    <row r="394" spans="1:11" x14ac:dyDescent="0.25">
      <c r="A394" s="439"/>
      <c r="B394" s="427" t="s">
        <v>536</v>
      </c>
      <c r="C394" s="427" t="s">
        <v>528</v>
      </c>
      <c r="D394" s="426"/>
      <c r="E394" s="428" t="s">
        <v>529</v>
      </c>
      <c r="F394" s="429">
        <v>0</v>
      </c>
      <c r="G394" s="429">
        <v>0</v>
      </c>
      <c r="H394" s="429">
        <f>[2]Nov!I432</f>
        <v>0</v>
      </c>
      <c r="I394" s="429">
        <f t="shared" ref="I394:I396" si="163">G394+H394</f>
        <v>0</v>
      </c>
      <c r="J394" s="429">
        <f t="shared" ref="J394:J396" si="164">F394-I394</f>
        <v>0</v>
      </c>
      <c r="K394" s="426"/>
    </row>
    <row r="395" spans="1:11" x14ac:dyDescent="0.25">
      <c r="A395" s="439"/>
      <c r="B395" s="427" t="s">
        <v>536</v>
      </c>
      <c r="C395" s="427" t="s">
        <v>532</v>
      </c>
      <c r="D395" s="426"/>
      <c r="E395" s="428" t="s">
        <v>533</v>
      </c>
      <c r="F395" s="429">
        <v>0</v>
      </c>
      <c r="G395" s="429">
        <v>0</v>
      </c>
      <c r="H395" s="429">
        <f>[2]Nov!I433</f>
        <v>0</v>
      </c>
      <c r="I395" s="429">
        <f t="shared" si="163"/>
        <v>0</v>
      </c>
      <c r="J395" s="429">
        <f t="shared" si="164"/>
        <v>0</v>
      </c>
      <c r="K395" s="426"/>
    </row>
    <row r="396" spans="1:11" x14ac:dyDescent="0.25">
      <c r="A396" s="439"/>
      <c r="B396" s="427" t="s">
        <v>536</v>
      </c>
      <c r="C396" s="427" t="s">
        <v>534</v>
      </c>
      <c r="D396" s="426"/>
      <c r="E396" s="428" t="s">
        <v>535</v>
      </c>
      <c r="F396" s="429">
        <v>0</v>
      </c>
      <c r="G396" s="429">
        <v>0</v>
      </c>
      <c r="H396" s="429">
        <f>[2]Nov!I434</f>
        <v>0</v>
      </c>
      <c r="I396" s="429">
        <f t="shared" si="163"/>
        <v>0</v>
      </c>
      <c r="J396" s="429">
        <f t="shared" si="164"/>
        <v>0</v>
      </c>
      <c r="K396" s="426"/>
    </row>
    <row r="397" spans="1:11" x14ac:dyDescent="0.25">
      <c r="A397" s="439"/>
      <c r="B397" s="427"/>
      <c r="C397" s="427"/>
      <c r="D397" s="426"/>
      <c r="E397" s="428"/>
      <c r="F397" s="429"/>
      <c r="G397" s="429"/>
      <c r="H397" s="429"/>
      <c r="I397" s="429"/>
      <c r="J397" s="429"/>
      <c r="K397" s="426"/>
    </row>
    <row r="398" spans="1:11" ht="38.25" x14ac:dyDescent="0.25">
      <c r="A398" s="438"/>
      <c r="B398" s="449" t="s">
        <v>538</v>
      </c>
      <c r="C398" s="438"/>
      <c r="D398" s="418"/>
      <c r="E398" s="442" t="s">
        <v>539</v>
      </c>
      <c r="F398" s="443">
        <f>F399+F405</f>
        <v>0</v>
      </c>
      <c r="G398" s="443">
        <f>G399+G405</f>
        <v>0</v>
      </c>
      <c r="H398" s="443">
        <f>H399+H405</f>
        <v>0</v>
      </c>
      <c r="I398" s="443">
        <f>I399+I405</f>
        <v>0</v>
      </c>
      <c r="J398" s="443">
        <f>J399+J405</f>
        <v>0</v>
      </c>
      <c r="K398" s="418"/>
    </row>
    <row r="399" spans="1:11" x14ac:dyDescent="0.25">
      <c r="A399" s="438"/>
      <c r="B399" s="419" t="s">
        <v>538</v>
      </c>
      <c r="C399" s="419" t="s">
        <v>359</v>
      </c>
      <c r="D399" s="418"/>
      <c r="E399" s="420" t="s">
        <v>67</v>
      </c>
      <c r="F399" s="421">
        <f>F400</f>
        <v>0</v>
      </c>
      <c r="G399" s="421">
        <f>G400</f>
        <v>0</v>
      </c>
      <c r="H399" s="421">
        <f>H400</f>
        <v>0</v>
      </c>
      <c r="I399" s="421">
        <f>I400</f>
        <v>0</v>
      </c>
      <c r="J399" s="421">
        <f>J400</f>
        <v>0</v>
      </c>
      <c r="K399" s="418"/>
    </row>
    <row r="400" spans="1:11" x14ac:dyDescent="0.25">
      <c r="A400" s="440"/>
      <c r="B400" s="423" t="s">
        <v>538</v>
      </c>
      <c r="C400" s="423" t="s">
        <v>360</v>
      </c>
      <c r="D400" s="422"/>
      <c r="E400" s="424" t="s">
        <v>361</v>
      </c>
      <c r="F400" s="425">
        <f>SUM(F401:F404)</f>
        <v>0</v>
      </c>
      <c r="G400" s="425">
        <f>SUM(G401:G404)</f>
        <v>0</v>
      </c>
      <c r="H400" s="425">
        <f>SUM(H401:H404)</f>
        <v>0</v>
      </c>
      <c r="I400" s="425">
        <f>SUM(I401:I404)</f>
        <v>0</v>
      </c>
      <c r="J400" s="425">
        <f>SUM(J401:J404)</f>
        <v>0</v>
      </c>
      <c r="K400" s="422"/>
    </row>
    <row r="401" spans="1:11" x14ac:dyDescent="0.25">
      <c r="A401" s="439"/>
      <c r="B401" s="427" t="s">
        <v>538</v>
      </c>
      <c r="C401" s="427" t="s">
        <v>362</v>
      </c>
      <c r="D401" s="426"/>
      <c r="E401" s="428" t="s">
        <v>363</v>
      </c>
      <c r="F401" s="429">
        <v>0</v>
      </c>
      <c r="G401" s="429">
        <v>0</v>
      </c>
      <c r="H401" s="429">
        <f>[2]Nov!I439</f>
        <v>0</v>
      </c>
      <c r="I401" s="429">
        <f t="shared" ref="I401:I404" si="165">G401+H401</f>
        <v>0</v>
      </c>
      <c r="J401" s="429">
        <f t="shared" ref="J401:J404" si="166">F401-I401</f>
        <v>0</v>
      </c>
      <c r="K401" s="426"/>
    </row>
    <row r="402" spans="1:11" x14ac:dyDescent="0.25">
      <c r="A402" s="439"/>
      <c r="B402" s="427" t="s">
        <v>538</v>
      </c>
      <c r="C402" s="427" t="s">
        <v>366</v>
      </c>
      <c r="D402" s="426"/>
      <c r="E402" s="428" t="s">
        <v>367</v>
      </c>
      <c r="F402" s="429">
        <v>0</v>
      </c>
      <c r="G402" s="429">
        <v>0</v>
      </c>
      <c r="H402" s="429">
        <f>[2]Nov!I440</f>
        <v>0</v>
      </c>
      <c r="I402" s="429">
        <f t="shared" si="165"/>
        <v>0</v>
      </c>
      <c r="J402" s="429">
        <f t="shared" si="166"/>
        <v>0</v>
      </c>
      <c r="K402" s="426"/>
    </row>
    <row r="403" spans="1:11" x14ac:dyDescent="0.25">
      <c r="A403" s="439"/>
      <c r="B403" s="427" t="s">
        <v>538</v>
      </c>
      <c r="C403" s="427" t="s">
        <v>368</v>
      </c>
      <c r="D403" s="426"/>
      <c r="E403" s="428" t="s">
        <v>369</v>
      </c>
      <c r="F403" s="429">
        <v>0</v>
      </c>
      <c r="G403" s="429">
        <v>0</v>
      </c>
      <c r="H403" s="429">
        <f>[2]Nov!I441</f>
        <v>0</v>
      </c>
      <c r="I403" s="429">
        <f t="shared" si="165"/>
        <v>0</v>
      </c>
      <c r="J403" s="429">
        <f t="shared" si="166"/>
        <v>0</v>
      </c>
      <c r="K403" s="426"/>
    </row>
    <row r="404" spans="1:11" x14ac:dyDescent="0.25">
      <c r="A404" s="439"/>
      <c r="B404" s="427" t="s">
        <v>538</v>
      </c>
      <c r="C404" s="427" t="s">
        <v>487</v>
      </c>
      <c r="D404" s="426"/>
      <c r="E404" s="428" t="s">
        <v>488</v>
      </c>
      <c r="F404" s="429">
        <v>0</v>
      </c>
      <c r="G404" s="429">
        <v>0</v>
      </c>
      <c r="H404" s="429">
        <f>[2]Nov!I442</f>
        <v>0</v>
      </c>
      <c r="I404" s="429">
        <f t="shared" si="165"/>
        <v>0</v>
      </c>
      <c r="J404" s="429">
        <f t="shared" si="166"/>
        <v>0</v>
      </c>
      <c r="K404" s="426"/>
    </row>
    <row r="405" spans="1:11" x14ac:dyDescent="0.25">
      <c r="A405" s="438"/>
      <c r="B405" s="419" t="s">
        <v>538</v>
      </c>
      <c r="C405" s="419" t="s">
        <v>404</v>
      </c>
      <c r="D405" s="418"/>
      <c r="E405" s="420" t="s">
        <v>68</v>
      </c>
      <c r="F405" s="421">
        <f>F406</f>
        <v>0</v>
      </c>
      <c r="G405" s="421">
        <f>G406</f>
        <v>0</v>
      </c>
      <c r="H405" s="421">
        <f>H406</f>
        <v>0</v>
      </c>
      <c r="I405" s="421">
        <f>I406</f>
        <v>0</v>
      </c>
      <c r="J405" s="421">
        <f>J406</f>
        <v>0</v>
      </c>
      <c r="K405" s="418"/>
    </row>
    <row r="406" spans="1:11" x14ac:dyDescent="0.25">
      <c r="A406" s="440"/>
      <c r="B406" s="423" t="s">
        <v>538</v>
      </c>
      <c r="C406" s="423" t="s">
        <v>526</v>
      </c>
      <c r="D406" s="422"/>
      <c r="E406" s="424" t="s">
        <v>527</v>
      </c>
      <c r="F406" s="425">
        <f>SUM(F407:F408)</f>
        <v>0</v>
      </c>
      <c r="G406" s="425">
        <f>SUM(G407:G408)</f>
        <v>0</v>
      </c>
      <c r="H406" s="425">
        <f>SUM(H407:H408)</f>
        <v>0</v>
      </c>
      <c r="I406" s="425">
        <f>SUM(I407:I408)</f>
        <v>0</v>
      </c>
      <c r="J406" s="425">
        <f>SUM(J407:J408)</f>
        <v>0</v>
      </c>
      <c r="K406" s="422"/>
    </row>
    <row r="407" spans="1:11" x14ac:dyDescent="0.25">
      <c r="A407" s="439"/>
      <c r="B407" s="427" t="s">
        <v>538</v>
      </c>
      <c r="C407" s="427" t="s">
        <v>528</v>
      </c>
      <c r="D407" s="426"/>
      <c r="E407" s="428" t="s">
        <v>529</v>
      </c>
      <c r="F407" s="429">
        <v>0</v>
      </c>
      <c r="G407" s="429">
        <v>0</v>
      </c>
      <c r="H407" s="429">
        <f>[2]Nov!I445</f>
        <v>0</v>
      </c>
      <c r="I407" s="429">
        <f t="shared" ref="I407:I408" si="167">G407+H407</f>
        <v>0</v>
      </c>
      <c r="J407" s="429">
        <f t="shared" ref="J407:J408" si="168">F407-I407</f>
        <v>0</v>
      </c>
      <c r="K407" s="426"/>
    </row>
    <row r="408" spans="1:11" x14ac:dyDescent="0.25">
      <c r="A408" s="450"/>
      <c r="B408" s="451" t="s">
        <v>538</v>
      </c>
      <c r="C408" s="451" t="s">
        <v>532</v>
      </c>
      <c r="D408" s="452"/>
      <c r="E408" s="453" t="s">
        <v>533</v>
      </c>
      <c r="F408" s="454">
        <v>0</v>
      </c>
      <c r="G408" s="454">
        <v>0</v>
      </c>
      <c r="H408" s="429">
        <f>[2]Nov!I446</f>
        <v>0</v>
      </c>
      <c r="I408" s="454">
        <f t="shared" si="167"/>
        <v>0</v>
      </c>
      <c r="J408" s="454">
        <f t="shared" si="168"/>
        <v>0</v>
      </c>
      <c r="K408" s="452"/>
    </row>
    <row r="409" spans="1:11" x14ac:dyDescent="0.25">
      <c r="A409" s="439"/>
      <c r="B409" s="427"/>
      <c r="C409" s="427"/>
      <c r="D409" s="426"/>
      <c r="E409" s="428"/>
      <c r="F409" s="429"/>
      <c r="G409" s="429"/>
      <c r="H409" s="429"/>
      <c r="I409" s="429"/>
      <c r="J409" s="429"/>
      <c r="K409" s="426"/>
    </row>
    <row r="410" spans="1:11" ht="25.5" x14ac:dyDescent="0.25">
      <c r="A410" s="455"/>
      <c r="B410" s="460" t="s">
        <v>540</v>
      </c>
      <c r="C410" s="455"/>
      <c r="D410" s="457"/>
      <c r="E410" s="461" t="s">
        <v>541</v>
      </c>
      <c r="F410" s="462">
        <f>F411+F415</f>
        <v>25725000</v>
      </c>
      <c r="G410" s="462">
        <f>G411+G415</f>
        <v>0</v>
      </c>
      <c r="H410" s="462">
        <f>H411+H415</f>
        <v>0</v>
      </c>
      <c r="I410" s="462">
        <f>I411+I415</f>
        <v>0</v>
      </c>
      <c r="J410" s="462">
        <f>J411+J415</f>
        <v>25725000</v>
      </c>
      <c r="K410" s="457"/>
    </row>
    <row r="411" spans="1:11" x14ac:dyDescent="0.25">
      <c r="A411" s="438"/>
      <c r="B411" s="419" t="s">
        <v>540</v>
      </c>
      <c r="C411" s="419" t="s">
        <v>359</v>
      </c>
      <c r="D411" s="418"/>
      <c r="E411" s="420" t="s">
        <v>67</v>
      </c>
      <c r="F411" s="421">
        <f>F412</f>
        <v>244000</v>
      </c>
      <c r="G411" s="421">
        <f>G412</f>
        <v>0</v>
      </c>
      <c r="H411" s="421">
        <f>H412</f>
        <v>0</v>
      </c>
      <c r="I411" s="421">
        <f>I412</f>
        <v>0</v>
      </c>
      <c r="J411" s="421">
        <f>J412</f>
        <v>244000</v>
      </c>
      <c r="K411" s="418"/>
    </row>
    <row r="412" spans="1:11" x14ac:dyDescent="0.25">
      <c r="A412" s="440"/>
      <c r="B412" s="423" t="s">
        <v>540</v>
      </c>
      <c r="C412" s="423" t="s">
        <v>360</v>
      </c>
      <c r="D412" s="422"/>
      <c r="E412" s="424" t="s">
        <v>361</v>
      </c>
      <c r="F412" s="425">
        <f>SUM(F413:F414)</f>
        <v>244000</v>
      </c>
      <c r="G412" s="425">
        <f>SUM(G413:G414)</f>
        <v>0</v>
      </c>
      <c r="H412" s="425">
        <f>SUM(H413:H414)</f>
        <v>0</v>
      </c>
      <c r="I412" s="425">
        <f>SUM(I413:I414)</f>
        <v>0</v>
      </c>
      <c r="J412" s="425">
        <f>SUM(J413:J414)</f>
        <v>244000</v>
      </c>
      <c r="K412" s="422"/>
    </row>
    <row r="413" spans="1:11" x14ac:dyDescent="0.25">
      <c r="A413" s="439"/>
      <c r="B413" s="427" t="s">
        <v>540</v>
      </c>
      <c r="C413" s="427" t="s">
        <v>366</v>
      </c>
      <c r="D413" s="426"/>
      <c r="E413" s="428" t="s">
        <v>367</v>
      </c>
      <c r="F413" s="429">
        <v>69000</v>
      </c>
      <c r="G413" s="429">
        <v>0</v>
      </c>
      <c r="H413" s="429">
        <f>[2]Nov!I451</f>
        <v>0</v>
      </c>
      <c r="I413" s="429">
        <f t="shared" ref="I413:I414" si="169">G413+H413</f>
        <v>0</v>
      </c>
      <c r="J413" s="429">
        <f t="shared" ref="J413:J414" si="170">F413-I413</f>
        <v>69000</v>
      </c>
      <c r="K413" s="426"/>
    </row>
    <row r="414" spans="1:11" x14ac:dyDescent="0.25">
      <c r="A414" s="439"/>
      <c r="B414" s="427" t="s">
        <v>540</v>
      </c>
      <c r="C414" s="427" t="s">
        <v>487</v>
      </c>
      <c r="D414" s="426"/>
      <c r="E414" s="428" t="s">
        <v>488</v>
      </c>
      <c r="F414" s="429">
        <v>175000</v>
      </c>
      <c r="G414" s="429">
        <v>0</v>
      </c>
      <c r="H414" s="429">
        <f>[2]Nov!I452</f>
        <v>0</v>
      </c>
      <c r="I414" s="429">
        <f t="shared" si="169"/>
        <v>0</v>
      </c>
      <c r="J414" s="429">
        <f t="shared" si="170"/>
        <v>175000</v>
      </c>
      <c r="K414" s="426"/>
    </row>
    <row r="415" spans="1:11" x14ac:dyDescent="0.25">
      <c r="A415" s="438"/>
      <c r="B415" s="419" t="s">
        <v>540</v>
      </c>
      <c r="C415" s="419" t="s">
        <v>404</v>
      </c>
      <c r="D415" s="418"/>
      <c r="E415" s="420" t="s">
        <v>68</v>
      </c>
      <c r="F415" s="421">
        <f>F416</f>
        <v>25481000</v>
      </c>
      <c r="G415" s="421">
        <f>G416</f>
        <v>0</v>
      </c>
      <c r="H415" s="421">
        <f>H416</f>
        <v>0</v>
      </c>
      <c r="I415" s="421">
        <f>I416</f>
        <v>0</v>
      </c>
      <c r="J415" s="421">
        <f>J416</f>
        <v>25481000</v>
      </c>
      <c r="K415" s="418"/>
    </row>
    <row r="416" spans="1:11" x14ac:dyDescent="0.25">
      <c r="A416" s="440"/>
      <c r="B416" s="423" t="s">
        <v>540</v>
      </c>
      <c r="C416" s="423" t="s">
        <v>489</v>
      </c>
      <c r="D416" s="422"/>
      <c r="E416" s="424" t="s">
        <v>490</v>
      </c>
      <c r="F416" s="425">
        <f>SUM(F417:F418)</f>
        <v>25481000</v>
      </c>
      <c r="G416" s="425">
        <f>SUM(G417:G418)</f>
        <v>0</v>
      </c>
      <c r="H416" s="425">
        <f>SUM(H417:H418)</f>
        <v>0</v>
      </c>
      <c r="I416" s="425">
        <f>SUM(I417:I418)</f>
        <v>0</v>
      </c>
      <c r="J416" s="425">
        <f>SUM(J417:J418)</f>
        <v>25481000</v>
      </c>
      <c r="K416" s="422"/>
    </row>
    <row r="417" spans="1:11" x14ac:dyDescent="0.25">
      <c r="A417" s="439"/>
      <c r="B417" s="427" t="s">
        <v>540</v>
      </c>
      <c r="C417" s="427" t="s">
        <v>491</v>
      </c>
      <c r="D417" s="426"/>
      <c r="E417" s="428" t="s">
        <v>492</v>
      </c>
      <c r="F417" s="429">
        <v>550000</v>
      </c>
      <c r="G417" s="429">
        <v>0</v>
      </c>
      <c r="H417" s="429">
        <f>[2]Nov!I455</f>
        <v>0</v>
      </c>
      <c r="I417" s="429">
        <f t="shared" ref="I417:I418" si="171">G417+H417</f>
        <v>0</v>
      </c>
      <c r="J417" s="429">
        <f t="shared" ref="J417:J418" si="172">F417-I417</f>
        <v>550000</v>
      </c>
      <c r="K417" s="426"/>
    </row>
    <row r="418" spans="1:11" x14ac:dyDescent="0.25">
      <c r="A418" s="450"/>
      <c r="B418" s="451" t="s">
        <v>540</v>
      </c>
      <c r="C418" s="451" t="s">
        <v>495</v>
      </c>
      <c r="D418" s="452"/>
      <c r="E418" s="453" t="s">
        <v>496</v>
      </c>
      <c r="F418" s="454">
        <v>24931000</v>
      </c>
      <c r="G418" s="454">
        <v>0</v>
      </c>
      <c r="H418" s="429">
        <f>[2]Nov!I456</f>
        <v>0</v>
      </c>
      <c r="I418" s="454">
        <f t="shared" si="171"/>
        <v>0</v>
      </c>
      <c r="J418" s="454">
        <f t="shared" si="172"/>
        <v>24931000</v>
      </c>
      <c r="K418" s="452"/>
    </row>
    <row r="419" spans="1:11" x14ac:dyDescent="0.25">
      <c r="A419" s="450"/>
      <c r="B419" s="451"/>
      <c r="C419" s="451"/>
      <c r="D419" s="452"/>
      <c r="E419" s="453"/>
      <c r="F419" s="454"/>
      <c r="G419" s="454"/>
      <c r="H419" s="429"/>
      <c r="I419" s="454"/>
      <c r="J419" s="454"/>
      <c r="K419" s="452"/>
    </row>
    <row r="420" spans="1:11" x14ac:dyDescent="0.25">
      <c r="A420" s="438"/>
      <c r="B420" s="419" t="s">
        <v>542</v>
      </c>
      <c r="C420" s="438"/>
      <c r="D420" s="418"/>
      <c r="E420" s="420" t="s">
        <v>543</v>
      </c>
      <c r="F420" s="421">
        <f>F421+F426</f>
        <v>31226000</v>
      </c>
      <c r="G420" s="421">
        <f>G421+G426</f>
        <v>18494130</v>
      </c>
      <c r="H420" s="421">
        <f>H421+H426</f>
        <v>9936000</v>
      </c>
      <c r="I420" s="421">
        <f>I421+I426</f>
        <v>28430130</v>
      </c>
      <c r="J420" s="421">
        <f>J421+J426</f>
        <v>2795870</v>
      </c>
      <c r="K420" s="418"/>
    </row>
    <row r="421" spans="1:11" x14ac:dyDescent="0.25">
      <c r="A421" s="438"/>
      <c r="B421" s="419" t="s">
        <v>542</v>
      </c>
      <c r="C421" s="419" t="s">
        <v>359</v>
      </c>
      <c r="D421" s="418"/>
      <c r="E421" s="420" t="s">
        <v>67</v>
      </c>
      <c r="F421" s="421">
        <f>F422</f>
        <v>240000</v>
      </c>
      <c r="G421" s="421">
        <f>G422</f>
        <v>0</v>
      </c>
      <c r="H421" s="421">
        <f>H422</f>
        <v>240000</v>
      </c>
      <c r="I421" s="421">
        <f>I422</f>
        <v>240000</v>
      </c>
      <c r="J421" s="421">
        <f>J422</f>
        <v>0</v>
      </c>
      <c r="K421" s="418"/>
    </row>
    <row r="422" spans="1:11" x14ac:dyDescent="0.25">
      <c r="A422" s="440"/>
      <c r="B422" s="423" t="s">
        <v>542</v>
      </c>
      <c r="C422" s="423" t="s">
        <v>360</v>
      </c>
      <c r="D422" s="422"/>
      <c r="E422" s="424" t="s">
        <v>361</v>
      </c>
      <c r="F422" s="425">
        <f>SUM(F423:F425)</f>
        <v>240000</v>
      </c>
      <c r="G422" s="425">
        <f>SUM(G423:G425)</f>
        <v>0</v>
      </c>
      <c r="H422" s="425">
        <f>SUM(H423:H425)</f>
        <v>240000</v>
      </c>
      <c r="I422" s="425">
        <f>SUM(I423:I425)</f>
        <v>240000</v>
      </c>
      <c r="J422" s="425">
        <f>SUM(J423:J425)</f>
        <v>0</v>
      </c>
      <c r="K422" s="422"/>
    </row>
    <row r="423" spans="1:11" x14ac:dyDescent="0.25">
      <c r="A423" s="439"/>
      <c r="B423" s="427" t="s">
        <v>542</v>
      </c>
      <c r="C423" s="427" t="s">
        <v>362</v>
      </c>
      <c r="D423" s="426"/>
      <c r="E423" s="428" t="s">
        <v>363</v>
      </c>
      <c r="F423" s="429">
        <v>30000</v>
      </c>
      <c r="G423" s="429">
        <v>0</v>
      </c>
      <c r="H423" s="429">
        <f>[2]Nov!I464</f>
        <v>30000</v>
      </c>
      <c r="I423" s="429">
        <f t="shared" ref="I423:I425" si="173">G423+H423</f>
        <v>30000</v>
      </c>
      <c r="J423" s="429">
        <f t="shared" ref="J423:J425" si="174">F423-I423</f>
        <v>0</v>
      </c>
      <c r="K423" s="426"/>
    </row>
    <row r="424" spans="1:11" x14ac:dyDescent="0.25">
      <c r="A424" s="439"/>
      <c r="B424" s="427" t="s">
        <v>542</v>
      </c>
      <c r="C424" s="427" t="s">
        <v>366</v>
      </c>
      <c r="D424" s="426"/>
      <c r="E424" s="428" t="s">
        <v>367</v>
      </c>
      <c r="F424" s="429">
        <v>30000</v>
      </c>
      <c r="G424" s="429">
        <v>0</v>
      </c>
      <c r="H424" s="429">
        <f>[2]Nov!I465</f>
        <v>30000</v>
      </c>
      <c r="I424" s="429">
        <f t="shared" si="173"/>
        <v>30000</v>
      </c>
      <c r="J424" s="429">
        <f t="shared" si="174"/>
        <v>0</v>
      </c>
      <c r="K424" s="426"/>
    </row>
    <row r="425" spans="1:11" x14ac:dyDescent="0.25">
      <c r="A425" s="439"/>
      <c r="B425" s="427" t="s">
        <v>542</v>
      </c>
      <c r="C425" s="427" t="s">
        <v>368</v>
      </c>
      <c r="D425" s="426"/>
      <c r="E425" s="428" t="s">
        <v>369</v>
      </c>
      <c r="F425" s="429">
        <v>180000</v>
      </c>
      <c r="G425" s="429">
        <v>0</v>
      </c>
      <c r="H425" s="429">
        <f>[2]Nov!I466</f>
        <v>180000</v>
      </c>
      <c r="I425" s="429">
        <f t="shared" si="173"/>
        <v>180000</v>
      </c>
      <c r="J425" s="429">
        <f t="shared" si="174"/>
        <v>0</v>
      </c>
      <c r="K425" s="426"/>
    </row>
    <row r="426" spans="1:11" x14ac:dyDescent="0.25">
      <c r="A426" s="438"/>
      <c r="B426" s="419" t="s">
        <v>542</v>
      </c>
      <c r="C426" s="419" t="s">
        <v>404</v>
      </c>
      <c r="D426" s="418"/>
      <c r="E426" s="420" t="s">
        <v>68</v>
      </c>
      <c r="F426" s="421">
        <f>F427</f>
        <v>30986000</v>
      </c>
      <c r="G426" s="421">
        <f>G427</f>
        <v>18494130</v>
      </c>
      <c r="H426" s="421">
        <f>H427</f>
        <v>9696000</v>
      </c>
      <c r="I426" s="421">
        <f>I427</f>
        <v>28190130</v>
      </c>
      <c r="J426" s="421">
        <f>J427</f>
        <v>2795870</v>
      </c>
      <c r="K426" s="418"/>
    </row>
    <row r="427" spans="1:11" x14ac:dyDescent="0.25">
      <c r="A427" s="440"/>
      <c r="B427" s="423" t="s">
        <v>542</v>
      </c>
      <c r="C427" s="423" t="s">
        <v>526</v>
      </c>
      <c r="D427" s="422"/>
      <c r="E427" s="424" t="s">
        <v>527</v>
      </c>
      <c r="F427" s="425">
        <f>SUM(F428:F430)</f>
        <v>30986000</v>
      </c>
      <c r="G427" s="425">
        <f>SUM(G428:G430)</f>
        <v>18494130</v>
      </c>
      <c r="H427" s="425">
        <f>SUM(H428:H430)</f>
        <v>9696000</v>
      </c>
      <c r="I427" s="425">
        <f>SUM(I428:I430)</f>
        <v>28190130</v>
      </c>
      <c r="J427" s="425">
        <f>SUM(J428:J430)</f>
        <v>2795870</v>
      </c>
      <c r="K427" s="422"/>
    </row>
    <row r="428" spans="1:11" x14ac:dyDescent="0.25">
      <c r="A428" s="439"/>
      <c r="B428" s="427" t="s">
        <v>542</v>
      </c>
      <c r="C428" s="427" t="s">
        <v>528</v>
      </c>
      <c r="D428" s="426"/>
      <c r="E428" s="428" t="s">
        <v>529</v>
      </c>
      <c r="F428" s="429">
        <v>550000</v>
      </c>
      <c r="G428" s="429">
        <v>550000</v>
      </c>
      <c r="H428" s="429">
        <f>[2]Nov!I469</f>
        <v>0</v>
      </c>
      <c r="I428" s="429">
        <f t="shared" ref="I428:I430" si="175">G428+H428</f>
        <v>550000</v>
      </c>
      <c r="J428" s="429">
        <f t="shared" ref="J428:J430" si="176">F428-I428</f>
        <v>0</v>
      </c>
      <c r="K428" s="426"/>
    </row>
    <row r="429" spans="1:11" x14ac:dyDescent="0.25">
      <c r="A429" s="439"/>
      <c r="B429" s="427" t="s">
        <v>542</v>
      </c>
      <c r="C429" s="427" t="s">
        <v>530</v>
      </c>
      <c r="D429" s="426"/>
      <c r="E429" s="428" t="s">
        <v>531</v>
      </c>
      <c r="F429" s="429">
        <v>9696000</v>
      </c>
      <c r="G429" s="429">
        <v>0</v>
      </c>
      <c r="H429" s="429">
        <f>[2]Nov!I470</f>
        <v>9696000</v>
      </c>
      <c r="I429" s="429">
        <f t="shared" si="175"/>
        <v>9696000</v>
      </c>
      <c r="J429" s="429">
        <f t="shared" si="176"/>
        <v>0</v>
      </c>
      <c r="K429" s="426"/>
    </row>
    <row r="430" spans="1:11" x14ac:dyDescent="0.25">
      <c r="A430" s="439"/>
      <c r="B430" s="427" t="s">
        <v>542</v>
      </c>
      <c r="C430" s="427" t="s">
        <v>532</v>
      </c>
      <c r="D430" s="426"/>
      <c r="E430" s="428" t="s">
        <v>533</v>
      </c>
      <c r="F430" s="429">
        <v>20740000</v>
      </c>
      <c r="G430" s="429">
        <f>17224130+150000+45000+350000+175000</f>
        <v>17944130</v>
      </c>
      <c r="H430" s="429">
        <f>[2]Nov!I471</f>
        <v>0</v>
      </c>
      <c r="I430" s="429">
        <f t="shared" si="175"/>
        <v>17944130</v>
      </c>
      <c r="J430" s="429">
        <f t="shared" si="176"/>
        <v>2795870</v>
      </c>
      <c r="K430" s="426"/>
    </row>
    <row r="431" spans="1:11" x14ac:dyDescent="0.25">
      <c r="A431" s="439"/>
      <c r="B431" s="427"/>
      <c r="C431" s="427"/>
      <c r="D431" s="426"/>
      <c r="E431" s="428"/>
      <c r="F431" s="429"/>
      <c r="G431" s="429"/>
      <c r="H431" s="429"/>
      <c r="I431" s="429"/>
      <c r="J431" s="429"/>
      <c r="K431" s="426"/>
    </row>
    <row r="432" spans="1:11" x14ac:dyDescent="0.25">
      <c r="A432" s="438"/>
      <c r="B432" s="419" t="s">
        <v>544</v>
      </c>
      <c r="C432" s="438"/>
      <c r="D432" s="420" t="s">
        <v>545</v>
      </c>
      <c r="E432" s="418"/>
      <c r="F432" s="421">
        <f>F433+F444</f>
        <v>118805000</v>
      </c>
      <c r="G432" s="421">
        <f>G433+G444</f>
        <v>102662070</v>
      </c>
      <c r="H432" s="421">
        <f>H433+H444</f>
        <v>0</v>
      </c>
      <c r="I432" s="421">
        <f>I433+I444</f>
        <v>102662070</v>
      </c>
      <c r="J432" s="421">
        <f>J433+J444</f>
        <v>16142930</v>
      </c>
      <c r="K432" s="418"/>
    </row>
    <row r="433" spans="1:11" ht="38.25" x14ac:dyDescent="0.25">
      <c r="A433" s="438"/>
      <c r="B433" s="449" t="s">
        <v>546</v>
      </c>
      <c r="C433" s="438"/>
      <c r="D433" s="418"/>
      <c r="E433" s="442" t="s">
        <v>547</v>
      </c>
      <c r="F433" s="443">
        <f>F434</f>
        <v>118805000</v>
      </c>
      <c r="G433" s="443">
        <f>G434</f>
        <v>102662070</v>
      </c>
      <c r="H433" s="443">
        <f>H434</f>
        <v>0</v>
      </c>
      <c r="I433" s="443">
        <f>I434</f>
        <v>102662070</v>
      </c>
      <c r="J433" s="443">
        <f>J434</f>
        <v>16142930</v>
      </c>
      <c r="K433" s="418"/>
    </row>
    <row r="434" spans="1:11" x14ac:dyDescent="0.25">
      <c r="A434" s="438"/>
      <c r="B434" s="419" t="s">
        <v>546</v>
      </c>
      <c r="C434" s="419" t="s">
        <v>359</v>
      </c>
      <c r="D434" s="418"/>
      <c r="E434" s="420" t="s">
        <v>67</v>
      </c>
      <c r="F434" s="421">
        <f>F435+F439+F441</f>
        <v>118805000</v>
      </c>
      <c r="G434" s="421">
        <f>G435+G439+G441</f>
        <v>102662070</v>
      </c>
      <c r="H434" s="421">
        <f>H435+H439+H441</f>
        <v>0</v>
      </c>
      <c r="I434" s="421">
        <f>I435+I439+I441</f>
        <v>102662070</v>
      </c>
      <c r="J434" s="421">
        <f>J435+J439+J441</f>
        <v>16142930</v>
      </c>
      <c r="K434" s="418"/>
    </row>
    <row r="435" spans="1:11" x14ac:dyDescent="0.25">
      <c r="A435" s="440"/>
      <c r="B435" s="423" t="s">
        <v>546</v>
      </c>
      <c r="C435" s="423" t="s">
        <v>360</v>
      </c>
      <c r="D435" s="422"/>
      <c r="E435" s="424" t="s">
        <v>361</v>
      </c>
      <c r="F435" s="425">
        <f>SUM(F436:F438)</f>
        <v>330000</v>
      </c>
      <c r="G435" s="425">
        <f>SUM(G436:G438)</f>
        <v>330000</v>
      </c>
      <c r="H435" s="425">
        <f>SUM(H436:H438)</f>
        <v>0</v>
      </c>
      <c r="I435" s="425">
        <f>SUM(I436:I438)</f>
        <v>330000</v>
      </c>
      <c r="J435" s="425">
        <f>SUM(J436:J438)</f>
        <v>0</v>
      </c>
      <c r="K435" s="422"/>
    </row>
    <row r="436" spans="1:11" x14ac:dyDescent="0.25">
      <c r="A436" s="439"/>
      <c r="B436" s="427" t="s">
        <v>546</v>
      </c>
      <c r="C436" s="427" t="s">
        <v>362</v>
      </c>
      <c r="D436" s="426"/>
      <c r="E436" s="428" t="s">
        <v>363</v>
      </c>
      <c r="F436" s="429">
        <v>55000</v>
      </c>
      <c r="G436" s="429">
        <v>55000</v>
      </c>
      <c r="H436" s="429">
        <f>[2]Nov!I477</f>
        <v>0</v>
      </c>
      <c r="I436" s="429">
        <f t="shared" ref="I436:I438" si="177">G436+H436</f>
        <v>55000</v>
      </c>
      <c r="J436" s="429">
        <f t="shared" ref="J436:J438" si="178">F436-I436</f>
        <v>0</v>
      </c>
      <c r="K436" s="426"/>
    </row>
    <row r="437" spans="1:11" x14ac:dyDescent="0.25">
      <c r="A437" s="439"/>
      <c r="B437" s="427" t="s">
        <v>546</v>
      </c>
      <c r="C437" s="427" t="s">
        <v>366</v>
      </c>
      <c r="D437" s="426"/>
      <c r="E437" s="428" t="s">
        <v>367</v>
      </c>
      <c r="F437" s="429">
        <v>95000</v>
      </c>
      <c r="G437" s="429">
        <v>95000</v>
      </c>
      <c r="H437" s="429">
        <f>[2]Nov!I478</f>
        <v>0</v>
      </c>
      <c r="I437" s="429">
        <f t="shared" si="177"/>
        <v>95000</v>
      </c>
      <c r="J437" s="429">
        <f t="shared" si="178"/>
        <v>0</v>
      </c>
      <c r="K437" s="426"/>
    </row>
    <row r="438" spans="1:11" x14ac:dyDescent="0.25">
      <c r="A438" s="439"/>
      <c r="B438" s="427" t="s">
        <v>546</v>
      </c>
      <c r="C438" s="427" t="s">
        <v>368</v>
      </c>
      <c r="D438" s="426"/>
      <c r="E438" s="428" t="s">
        <v>369</v>
      </c>
      <c r="F438" s="429">
        <v>180000</v>
      </c>
      <c r="G438" s="429">
        <v>180000</v>
      </c>
      <c r="H438" s="429">
        <f>[2]Nov!I479</f>
        <v>0</v>
      </c>
      <c r="I438" s="429">
        <f t="shared" si="177"/>
        <v>180000</v>
      </c>
      <c r="J438" s="429">
        <f t="shared" si="178"/>
        <v>0</v>
      </c>
      <c r="K438" s="426"/>
    </row>
    <row r="439" spans="1:11" x14ac:dyDescent="0.25">
      <c r="A439" s="440"/>
      <c r="B439" s="423" t="s">
        <v>546</v>
      </c>
      <c r="C439" s="423" t="s">
        <v>370</v>
      </c>
      <c r="D439" s="422"/>
      <c r="E439" s="424" t="s">
        <v>81</v>
      </c>
      <c r="F439" s="425">
        <f>SUM(F440)</f>
        <v>1375000</v>
      </c>
      <c r="G439" s="425">
        <f>SUM(G440)</f>
        <v>1375000</v>
      </c>
      <c r="H439" s="425">
        <f>SUM(H440)</f>
        <v>0</v>
      </c>
      <c r="I439" s="425">
        <f>SUM(I440)</f>
        <v>1375000</v>
      </c>
      <c r="J439" s="425">
        <f>SUM(J440)</f>
        <v>0</v>
      </c>
      <c r="K439" s="422"/>
    </row>
    <row r="440" spans="1:11" x14ac:dyDescent="0.25">
      <c r="A440" s="439"/>
      <c r="B440" s="427" t="s">
        <v>546</v>
      </c>
      <c r="C440" s="427" t="s">
        <v>436</v>
      </c>
      <c r="D440" s="426"/>
      <c r="E440" s="428" t="s">
        <v>437</v>
      </c>
      <c r="F440" s="429">
        <v>1375000</v>
      </c>
      <c r="G440" s="429">
        <v>1375000</v>
      </c>
      <c r="H440" s="429">
        <f>[2]Nov!I481</f>
        <v>0</v>
      </c>
      <c r="I440" s="429">
        <f t="shared" ref="I440" si="179">G440+H440</f>
        <v>1375000</v>
      </c>
      <c r="J440" s="429">
        <f t="shared" ref="J440" si="180">F440-I440</f>
        <v>0</v>
      </c>
      <c r="K440" s="426"/>
    </row>
    <row r="441" spans="1:11" x14ac:dyDescent="0.25">
      <c r="A441" s="440"/>
      <c r="B441" s="423" t="s">
        <v>546</v>
      </c>
      <c r="C441" s="423" t="s">
        <v>460</v>
      </c>
      <c r="D441" s="422"/>
      <c r="E441" s="424" t="s">
        <v>461</v>
      </c>
      <c r="F441" s="425">
        <f>SUM(F442)</f>
        <v>117100000</v>
      </c>
      <c r="G441" s="425">
        <f>SUM(G442)</f>
        <v>100957070</v>
      </c>
      <c r="H441" s="425">
        <f>SUM(H442)</f>
        <v>0</v>
      </c>
      <c r="I441" s="425">
        <f>SUM(I442)</f>
        <v>100957070</v>
      </c>
      <c r="J441" s="425">
        <f>SUM(J442)</f>
        <v>16142930</v>
      </c>
      <c r="K441" s="422"/>
    </row>
    <row r="442" spans="1:11" x14ac:dyDescent="0.25">
      <c r="A442" s="450"/>
      <c r="B442" s="451" t="s">
        <v>546</v>
      </c>
      <c r="C442" s="451" t="s">
        <v>462</v>
      </c>
      <c r="D442" s="452"/>
      <c r="E442" s="453" t="s">
        <v>463</v>
      </c>
      <c r="F442" s="454">
        <v>117100000</v>
      </c>
      <c r="G442" s="429">
        <f>99257070+1700000</f>
        <v>100957070</v>
      </c>
      <c r="H442" s="429">
        <f>[2]Nov!I483</f>
        <v>0</v>
      </c>
      <c r="I442" s="454">
        <f t="shared" ref="I442" si="181">G442+H442</f>
        <v>100957070</v>
      </c>
      <c r="J442" s="454">
        <f t="shared" ref="J442" si="182">F442-I442</f>
        <v>16142930</v>
      </c>
      <c r="K442" s="452"/>
    </row>
    <row r="443" spans="1:11" x14ac:dyDescent="0.25">
      <c r="A443" s="439"/>
      <c r="B443" s="427"/>
      <c r="C443" s="427"/>
      <c r="D443" s="426"/>
      <c r="E443" s="428"/>
      <c r="F443" s="429"/>
      <c r="G443" s="429"/>
      <c r="H443" s="429"/>
      <c r="I443" s="429"/>
      <c r="J443" s="429"/>
      <c r="K443" s="426"/>
    </row>
    <row r="444" spans="1:11" x14ac:dyDescent="0.25">
      <c r="A444" s="455"/>
      <c r="B444" s="456" t="s">
        <v>548</v>
      </c>
      <c r="C444" s="455"/>
      <c r="D444" s="457"/>
      <c r="E444" s="458" t="s">
        <v>549</v>
      </c>
      <c r="F444" s="459">
        <f>F445</f>
        <v>0</v>
      </c>
      <c r="G444" s="459">
        <f>G445</f>
        <v>0</v>
      </c>
      <c r="H444" s="459">
        <f>H445</f>
        <v>0</v>
      </c>
      <c r="I444" s="459">
        <f>I445</f>
        <v>0</v>
      </c>
      <c r="J444" s="459">
        <f>J445</f>
        <v>0</v>
      </c>
      <c r="K444" s="457"/>
    </row>
    <row r="445" spans="1:11" x14ac:dyDescent="0.25">
      <c r="A445" s="438"/>
      <c r="B445" s="419" t="s">
        <v>548</v>
      </c>
      <c r="C445" s="419" t="s">
        <v>359</v>
      </c>
      <c r="D445" s="418"/>
      <c r="E445" s="420" t="s">
        <v>67</v>
      </c>
      <c r="F445" s="421">
        <f>F446+F450+F452</f>
        <v>0</v>
      </c>
      <c r="G445" s="421">
        <f>G446+G450+G452</f>
        <v>0</v>
      </c>
      <c r="H445" s="421">
        <f>H446+H450+H452</f>
        <v>0</v>
      </c>
      <c r="I445" s="421">
        <f>I446+I450+I452</f>
        <v>0</v>
      </c>
      <c r="J445" s="421">
        <f>J446+J450+J452</f>
        <v>0</v>
      </c>
      <c r="K445" s="418"/>
    </row>
    <row r="446" spans="1:11" x14ac:dyDescent="0.25">
      <c r="A446" s="440"/>
      <c r="B446" s="423" t="s">
        <v>548</v>
      </c>
      <c r="C446" s="423" t="s">
        <v>360</v>
      </c>
      <c r="D446" s="422"/>
      <c r="E446" s="424" t="s">
        <v>361</v>
      </c>
      <c r="F446" s="425">
        <f>SUM(F447:F449)</f>
        <v>0</v>
      </c>
      <c r="G446" s="425">
        <f>SUM(G447:G449)</f>
        <v>0</v>
      </c>
      <c r="H446" s="425">
        <f>SUM(H447:H449)</f>
        <v>0</v>
      </c>
      <c r="I446" s="425">
        <f>SUM(I447:I449)</f>
        <v>0</v>
      </c>
      <c r="J446" s="425">
        <f>SUM(J447:J449)</f>
        <v>0</v>
      </c>
      <c r="K446" s="422"/>
    </row>
    <row r="447" spans="1:11" x14ac:dyDescent="0.25">
      <c r="A447" s="439"/>
      <c r="B447" s="427" t="s">
        <v>548</v>
      </c>
      <c r="C447" s="427" t="s">
        <v>362</v>
      </c>
      <c r="D447" s="426"/>
      <c r="E447" s="428" t="s">
        <v>363</v>
      </c>
      <c r="F447" s="429">
        <v>0</v>
      </c>
      <c r="G447" s="429">
        <v>0</v>
      </c>
      <c r="H447" s="429">
        <f>[2]Nov!I488</f>
        <v>0</v>
      </c>
      <c r="I447" s="429">
        <f t="shared" ref="I447:I449" si="183">G447+H447</f>
        <v>0</v>
      </c>
      <c r="J447" s="429">
        <f t="shared" ref="J447:J449" si="184">F447-I447</f>
        <v>0</v>
      </c>
      <c r="K447" s="426"/>
    </row>
    <row r="448" spans="1:11" x14ac:dyDescent="0.25">
      <c r="A448" s="439"/>
      <c r="B448" s="427" t="s">
        <v>548</v>
      </c>
      <c r="C448" s="427" t="s">
        <v>366</v>
      </c>
      <c r="D448" s="426"/>
      <c r="E448" s="428" t="s">
        <v>367</v>
      </c>
      <c r="F448" s="429">
        <v>0</v>
      </c>
      <c r="G448" s="429">
        <v>0</v>
      </c>
      <c r="H448" s="429">
        <f>[2]Nov!I489</f>
        <v>0</v>
      </c>
      <c r="I448" s="429">
        <f t="shared" si="183"/>
        <v>0</v>
      </c>
      <c r="J448" s="429">
        <f t="shared" si="184"/>
        <v>0</v>
      </c>
      <c r="K448" s="426"/>
    </row>
    <row r="449" spans="1:11" x14ac:dyDescent="0.25">
      <c r="A449" s="439"/>
      <c r="B449" s="427" t="s">
        <v>548</v>
      </c>
      <c r="C449" s="427" t="s">
        <v>368</v>
      </c>
      <c r="D449" s="426"/>
      <c r="E449" s="428" t="s">
        <v>369</v>
      </c>
      <c r="F449" s="429">
        <v>0</v>
      </c>
      <c r="G449" s="429">
        <v>0</v>
      </c>
      <c r="H449" s="429">
        <f>[2]Nov!I490</f>
        <v>0</v>
      </c>
      <c r="I449" s="429">
        <f t="shared" si="183"/>
        <v>0</v>
      </c>
      <c r="J449" s="429">
        <f t="shared" si="184"/>
        <v>0</v>
      </c>
      <c r="K449" s="426"/>
    </row>
    <row r="450" spans="1:11" x14ac:dyDescent="0.25">
      <c r="A450" s="440"/>
      <c r="B450" s="423" t="s">
        <v>548</v>
      </c>
      <c r="C450" s="423" t="s">
        <v>370</v>
      </c>
      <c r="D450" s="422"/>
      <c r="E450" s="424" t="s">
        <v>81</v>
      </c>
      <c r="F450" s="425">
        <f>SUM(F451)</f>
        <v>0</v>
      </c>
      <c r="G450" s="425">
        <f>SUM(G451)</f>
        <v>0</v>
      </c>
      <c r="H450" s="425">
        <f>SUM(H451)</f>
        <v>0</v>
      </c>
      <c r="I450" s="425">
        <f>SUM(I451)</f>
        <v>0</v>
      </c>
      <c r="J450" s="425">
        <f>SUM(J451)</f>
        <v>0</v>
      </c>
      <c r="K450" s="422"/>
    </row>
    <row r="451" spans="1:11" x14ac:dyDescent="0.25">
      <c r="A451" s="439"/>
      <c r="B451" s="427" t="s">
        <v>548</v>
      </c>
      <c r="C451" s="427" t="s">
        <v>436</v>
      </c>
      <c r="D451" s="426"/>
      <c r="E451" s="428" t="s">
        <v>437</v>
      </c>
      <c r="F451" s="429">
        <v>0</v>
      </c>
      <c r="G451" s="429">
        <v>0</v>
      </c>
      <c r="H451" s="429">
        <f>[2]Nov!I492</f>
        <v>0</v>
      </c>
      <c r="I451" s="429">
        <f t="shared" ref="I451" si="185">G451+H451</f>
        <v>0</v>
      </c>
      <c r="J451" s="429">
        <f t="shared" ref="J451" si="186">F451-I451</f>
        <v>0</v>
      </c>
      <c r="K451" s="426"/>
    </row>
    <row r="452" spans="1:11" x14ac:dyDescent="0.25">
      <c r="A452" s="440"/>
      <c r="B452" s="423" t="s">
        <v>548</v>
      </c>
      <c r="C452" s="423" t="s">
        <v>460</v>
      </c>
      <c r="D452" s="422"/>
      <c r="E452" s="424" t="s">
        <v>461</v>
      </c>
      <c r="F452" s="425">
        <f>SUM(F453)</f>
        <v>0</v>
      </c>
      <c r="G452" s="425">
        <f>SUM(G453)</f>
        <v>0</v>
      </c>
      <c r="H452" s="425">
        <f>SUM(H453)</f>
        <v>0</v>
      </c>
      <c r="I452" s="425">
        <f>SUM(I453)</f>
        <v>0</v>
      </c>
      <c r="J452" s="425">
        <f>SUM(J453)</f>
        <v>0</v>
      </c>
      <c r="K452" s="422"/>
    </row>
    <row r="453" spans="1:11" x14ac:dyDescent="0.25">
      <c r="A453" s="439"/>
      <c r="B453" s="427" t="s">
        <v>548</v>
      </c>
      <c r="C453" s="427" t="s">
        <v>462</v>
      </c>
      <c r="D453" s="426"/>
      <c r="E453" s="428" t="s">
        <v>463</v>
      </c>
      <c r="F453" s="429">
        <v>0</v>
      </c>
      <c r="G453" s="429">
        <v>0</v>
      </c>
      <c r="H453" s="429">
        <f>[2]Nov!I494</f>
        <v>0</v>
      </c>
      <c r="I453" s="429">
        <f t="shared" ref="I453" si="187">G453+H453</f>
        <v>0</v>
      </c>
      <c r="J453" s="429">
        <f t="shared" ref="J453" si="188">F453-I453</f>
        <v>0</v>
      </c>
      <c r="K453" s="426"/>
    </row>
    <row r="454" spans="1:11" x14ac:dyDescent="0.25">
      <c r="A454" s="439"/>
      <c r="B454" s="427"/>
      <c r="C454" s="427"/>
      <c r="D454" s="426"/>
      <c r="E454" s="428"/>
      <c r="F454" s="429"/>
      <c r="G454" s="429"/>
      <c r="H454" s="429"/>
      <c r="I454" s="429"/>
      <c r="J454" s="429"/>
      <c r="K454" s="426"/>
    </row>
    <row r="455" spans="1:11" x14ac:dyDescent="0.25">
      <c r="A455" s="438"/>
      <c r="B455" s="419" t="s">
        <v>550</v>
      </c>
      <c r="C455" s="438"/>
      <c r="D455" s="420" t="s">
        <v>551</v>
      </c>
      <c r="E455" s="418"/>
      <c r="F455" s="421">
        <f t="shared" ref="F455:J457" si="189">F456</f>
        <v>2250000</v>
      </c>
      <c r="G455" s="421">
        <f t="shared" si="189"/>
        <v>324000</v>
      </c>
      <c r="H455" s="421">
        <f t="shared" si="189"/>
        <v>1500000</v>
      </c>
      <c r="I455" s="421">
        <f t="shared" si="189"/>
        <v>1824000</v>
      </c>
      <c r="J455" s="421">
        <f t="shared" si="189"/>
        <v>426000</v>
      </c>
      <c r="K455" s="418"/>
    </row>
    <row r="456" spans="1:11" x14ac:dyDescent="0.25">
      <c r="A456" s="438"/>
      <c r="B456" s="419" t="s">
        <v>552</v>
      </c>
      <c r="C456" s="438"/>
      <c r="D456" s="418"/>
      <c r="E456" s="420" t="s">
        <v>553</v>
      </c>
      <c r="F456" s="421">
        <f t="shared" si="189"/>
        <v>2250000</v>
      </c>
      <c r="G456" s="421">
        <f t="shared" si="189"/>
        <v>324000</v>
      </c>
      <c r="H456" s="421">
        <f t="shared" si="189"/>
        <v>1500000</v>
      </c>
      <c r="I456" s="421">
        <f t="shared" si="189"/>
        <v>1824000</v>
      </c>
      <c r="J456" s="421">
        <f t="shared" si="189"/>
        <v>426000</v>
      </c>
      <c r="K456" s="418"/>
    </row>
    <row r="457" spans="1:11" x14ac:dyDescent="0.25">
      <c r="A457" s="438"/>
      <c r="B457" s="419" t="s">
        <v>552</v>
      </c>
      <c r="C457" s="419" t="s">
        <v>359</v>
      </c>
      <c r="D457" s="418"/>
      <c r="E457" s="420" t="s">
        <v>67</v>
      </c>
      <c r="F457" s="421">
        <f t="shared" si="189"/>
        <v>2250000</v>
      </c>
      <c r="G457" s="421">
        <f t="shared" si="189"/>
        <v>324000</v>
      </c>
      <c r="H457" s="421">
        <f t="shared" si="189"/>
        <v>1500000</v>
      </c>
      <c r="I457" s="421">
        <f t="shared" si="189"/>
        <v>1824000</v>
      </c>
      <c r="J457" s="421">
        <f t="shared" si="189"/>
        <v>426000</v>
      </c>
      <c r="K457" s="418"/>
    </row>
    <row r="458" spans="1:11" x14ac:dyDescent="0.25">
      <c r="A458" s="440"/>
      <c r="B458" s="423" t="s">
        <v>552</v>
      </c>
      <c r="C458" s="423" t="s">
        <v>360</v>
      </c>
      <c r="D458" s="422"/>
      <c r="E458" s="424" t="s">
        <v>361</v>
      </c>
      <c r="F458" s="425">
        <f>SUM(F459)</f>
        <v>2250000</v>
      </c>
      <c r="G458" s="425">
        <f>SUM(G459)</f>
        <v>324000</v>
      </c>
      <c r="H458" s="425">
        <f>SUM(H459)</f>
        <v>1500000</v>
      </c>
      <c r="I458" s="425">
        <f>SUM(I459)</f>
        <v>1824000</v>
      </c>
      <c r="J458" s="425">
        <f>SUM(J459)</f>
        <v>426000</v>
      </c>
      <c r="K458" s="422"/>
    </row>
    <row r="459" spans="1:11" x14ac:dyDescent="0.25">
      <c r="A459" s="450"/>
      <c r="B459" s="451" t="s">
        <v>552</v>
      </c>
      <c r="C459" s="451" t="s">
        <v>366</v>
      </c>
      <c r="D459" s="452"/>
      <c r="E459" s="453" t="s">
        <v>367</v>
      </c>
      <c r="F459" s="454">
        <v>2250000</v>
      </c>
      <c r="G459" s="454">
        <v>324000</v>
      </c>
      <c r="H459" s="429">
        <f>[2]Nov!I500</f>
        <v>1500000</v>
      </c>
      <c r="I459" s="454">
        <f t="shared" ref="I459" si="190">G459+H459</f>
        <v>1824000</v>
      </c>
      <c r="J459" s="454">
        <f t="shared" ref="J459" si="191">F459-I459</f>
        <v>426000</v>
      </c>
      <c r="K459" s="452"/>
    </row>
    <row r="460" spans="1:11" x14ac:dyDescent="0.25">
      <c r="A460" s="450"/>
      <c r="B460" s="451"/>
      <c r="C460" s="451"/>
      <c r="D460" s="452"/>
      <c r="E460" s="453"/>
      <c r="F460" s="454"/>
      <c r="G460" s="454"/>
      <c r="H460" s="429"/>
      <c r="I460" s="454"/>
      <c r="J460" s="454"/>
      <c r="K460" s="452"/>
    </row>
    <row r="461" spans="1:11" x14ac:dyDescent="0.25">
      <c r="A461" s="438"/>
      <c r="B461" s="419">
        <v>3</v>
      </c>
      <c r="C461" s="438"/>
      <c r="D461" s="420" t="s">
        <v>554</v>
      </c>
      <c r="E461" s="418"/>
      <c r="F461" s="421">
        <f>F462+F470+F491+F507</f>
        <v>27045020</v>
      </c>
      <c r="G461" s="421">
        <f>G462+G470+G491+G507</f>
        <v>4024500</v>
      </c>
      <c r="H461" s="421">
        <f>H462+H470+H491+H507</f>
        <v>15224750</v>
      </c>
      <c r="I461" s="421">
        <f>I462+I470+I491+I507</f>
        <v>19249250</v>
      </c>
      <c r="J461" s="421">
        <f>J462+J470+J491+J507</f>
        <v>7795770</v>
      </c>
      <c r="K461" s="418"/>
    </row>
    <row r="462" spans="1:11" x14ac:dyDescent="0.25">
      <c r="A462" s="438"/>
      <c r="B462" s="419" t="s">
        <v>555</v>
      </c>
      <c r="C462" s="438"/>
      <c r="D462" s="420" t="s">
        <v>556</v>
      </c>
      <c r="E462" s="418"/>
      <c r="F462" s="421">
        <f t="shared" ref="F462:J463" si="192">F463</f>
        <v>2070000</v>
      </c>
      <c r="G462" s="421">
        <f t="shared" si="192"/>
        <v>0</v>
      </c>
      <c r="H462" s="421">
        <f t="shared" si="192"/>
        <v>2070000</v>
      </c>
      <c r="I462" s="421">
        <f t="shared" si="192"/>
        <v>2070000</v>
      </c>
      <c r="J462" s="421">
        <f t="shared" si="192"/>
        <v>0</v>
      </c>
      <c r="K462" s="418"/>
    </row>
    <row r="463" spans="1:11" x14ac:dyDescent="0.25">
      <c r="A463" s="438"/>
      <c r="B463" s="419" t="s">
        <v>557</v>
      </c>
      <c r="C463" s="438"/>
      <c r="D463" s="418"/>
      <c r="E463" s="420" t="s">
        <v>558</v>
      </c>
      <c r="F463" s="421">
        <f t="shared" si="192"/>
        <v>2070000</v>
      </c>
      <c r="G463" s="421">
        <f t="shared" si="192"/>
        <v>0</v>
      </c>
      <c r="H463" s="421">
        <f t="shared" si="192"/>
        <v>2070000</v>
      </c>
      <c r="I463" s="421">
        <f t="shared" si="192"/>
        <v>2070000</v>
      </c>
      <c r="J463" s="421">
        <f t="shared" si="192"/>
        <v>0</v>
      </c>
      <c r="K463" s="418"/>
    </row>
    <row r="464" spans="1:11" x14ac:dyDescent="0.25">
      <c r="A464" s="438"/>
      <c r="B464" s="419" t="s">
        <v>557</v>
      </c>
      <c r="C464" s="419" t="s">
        <v>359</v>
      </c>
      <c r="D464" s="418"/>
      <c r="E464" s="420" t="s">
        <v>67</v>
      </c>
      <c r="F464" s="421">
        <f>F465+F467</f>
        <v>2070000</v>
      </c>
      <c r="G464" s="421">
        <f>G465+G467</f>
        <v>0</v>
      </c>
      <c r="H464" s="421">
        <f>H465+H467</f>
        <v>2070000</v>
      </c>
      <c r="I464" s="421">
        <f>I465+I467</f>
        <v>2070000</v>
      </c>
      <c r="J464" s="421">
        <f>J465+J467</f>
        <v>0</v>
      </c>
      <c r="K464" s="418"/>
    </row>
    <row r="465" spans="1:11" x14ac:dyDescent="0.25">
      <c r="A465" s="440"/>
      <c r="B465" s="423" t="s">
        <v>557</v>
      </c>
      <c r="C465" s="423" t="s">
        <v>360</v>
      </c>
      <c r="D465" s="422"/>
      <c r="E465" s="424" t="s">
        <v>361</v>
      </c>
      <c r="F465" s="425">
        <f>SUM(F466)</f>
        <v>1620000</v>
      </c>
      <c r="G465" s="425">
        <f>SUM(G466)</f>
        <v>0</v>
      </c>
      <c r="H465" s="425">
        <f>SUM(H466)</f>
        <v>1620000</v>
      </c>
      <c r="I465" s="425">
        <f>SUM(I466)</f>
        <v>1620000</v>
      </c>
      <c r="J465" s="425">
        <f>SUM(J466)</f>
        <v>0</v>
      </c>
      <c r="K465" s="422"/>
    </row>
    <row r="466" spans="1:11" x14ac:dyDescent="0.25">
      <c r="A466" s="439"/>
      <c r="B466" s="427" t="s">
        <v>557</v>
      </c>
      <c r="C466" s="427" t="s">
        <v>368</v>
      </c>
      <c r="D466" s="426"/>
      <c r="E466" s="428" t="s">
        <v>369</v>
      </c>
      <c r="F466" s="429">
        <v>1620000</v>
      </c>
      <c r="G466" s="429">
        <v>0</v>
      </c>
      <c r="H466" s="429">
        <f>[2]Nov!I510</f>
        <v>1620000</v>
      </c>
      <c r="I466" s="429">
        <f t="shared" ref="I466" si="193">G466+H466</f>
        <v>1620000</v>
      </c>
      <c r="J466" s="429">
        <f t="shared" ref="J466" si="194">F466-I466</f>
        <v>0</v>
      </c>
      <c r="K466" s="426"/>
    </row>
    <row r="467" spans="1:11" x14ac:dyDescent="0.25">
      <c r="A467" s="440"/>
      <c r="B467" s="423" t="s">
        <v>557</v>
      </c>
      <c r="C467" s="423" t="s">
        <v>370</v>
      </c>
      <c r="D467" s="422"/>
      <c r="E467" s="424" t="s">
        <v>81</v>
      </c>
      <c r="F467" s="425">
        <f>SUM(F468)</f>
        <v>450000</v>
      </c>
      <c r="G467" s="425">
        <f>SUM(G468)</f>
        <v>0</v>
      </c>
      <c r="H467" s="425">
        <f>SUM(H468)</f>
        <v>450000</v>
      </c>
      <c r="I467" s="425">
        <f>SUM(I468)</f>
        <v>450000</v>
      </c>
      <c r="J467" s="425">
        <f>SUM(J468)</f>
        <v>0</v>
      </c>
      <c r="K467" s="422"/>
    </row>
    <row r="468" spans="1:11" x14ac:dyDescent="0.25">
      <c r="A468" s="439"/>
      <c r="B468" s="427" t="s">
        <v>557</v>
      </c>
      <c r="C468" s="427" t="s">
        <v>476</v>
      </c>
      <c r="D468" s="426"/>
      <c r="E468" s="428" t="s">
        <v>477</v>
      </c>
      <c r="F468" s="429">
        <v>450000</v>
      </c>
      <c r="G468" s="429">
        <v>0</v>
      </c>
      <c r="H468" s="429">
        <f>[2]Nov!I512</f>
        <v>450000</v>
      </c>
      <c r="I468" s="429">
        <f t="shared" ref="I468" si="195">G468+H468</f>
        <v>450000</v>
      </c>
      <c r="J468" s="429">
        <f t="shared" ref="J468" si="196">F468-I468</f>
        <v>0</v>
      </c>
      <c r="K468" s="426"/>
    </row>
    <row r="469" spans="1:11" x14ac:dyDescent="0.25">
      <c r="A469" s="439"/>
      <c r="B469" s="427"/>
      <c r="C469" s="427"/>
      <c r="D469" s="426"/>
      <c r="E469" s="428"/>
      <c r="F469" s="429"/>
      <c r="G469" s="429"/>
      <c r="H469" s="429"/>
      <c r="I469" s="429"/>
      <c r="J469" s="429"/>
      <c r="K469" s="426"/>
    </row>
    <row r="470" spans="1:11" x14ac:dyDescent="0.25">
      <c r="A470" s="438"/>
      <c r="B470" s="419" t="s">
        <v>559</v>
      </c>
      <c r="C470" s="438"/>
      <c r="D470" s="420" t="s">
        <v>560</v>
      </c>
      <c r="E470" s="418"/>
      <c r="F470" s="421">
        <f>F471+F482</f>
        <v>6910000</v>
      </c>
      <c r="G470" s="421">
        <f>G471+G482</f>
        <v>0</v>
      </c>
      <c r="H470" s="421">
        <f>H471+H482</f>
        <v>375000</v>
      </c>
      <c r="I470" s="421">
        <f>I471+I482</f>
        <v>375000</v>
      </c>
      <c r="J470" s="421">
        <f>J471+J482</f>
        <v>6535000</v>
      </c>
      <c r="K470" s="418"/>
    </row>
    <row r="471" spans="1:11" ht="38.25" x14ac:dyDescent="0.25">
      <c r="A471" s="438"/>
      <c r="B471" s="449" t="s">
        <v>561</v>
      </c>
      <c r="C471" s="438"/>
      <c r="D471" s="418"/>
      <c r="E471" s="442" t="s">
        <v>562</v>
      </c>
      <c r="F471" s="443">
        <f>F472</f>
        <v>6910000</v>
      </c>
      <c r="G471" s="443">
        <f>G472</f>
        <v>0</v>
      </c>
      <c r="H471" s="443">
        <f>H472</f>
        <v>375000</v>
      </c>
      <c r="I471" s="443">
        <f>I472</f>
        <v>375000</v>
      </c>
      <c r="J471" s="443">
        <f>J472</f>
        <v>6535000</v>
      </c>
      <c r="K471" s="418"/>
    </row>
    <row r="472" spans="1:11" x14ac:dyDescent="0.25">
      <c r="A472" s="438"/>
      <c r="B472" s="419" t="s">
        <v>561</v>
      </c>
      <c r="C472" s="419" t="s">
        <v>359</v>
      </c>
      <c r="D472" s="418"/>
      <c r="E472" s="420" t="s">
        <v>67</v>
      </c>
      <c r="F472" s="421">
        <f>F473+F476+F478</f>
        <v>6910000</v>
      </c>
      <c r="G472" s="421">
        <f>G473+G476+G478</f>
        <v>0</v>
      </c>
      <c r="H472" s="421">
        <f>H473+H476+H478</f>
        <v>375000</v>
      </c>
      <c r="I472" s="421">
        <f>I473+I476+I478</f>
        <v>375000</v>
      </c>
      <c r="J472" s="421">
        <f>J473+J476+J478</f>
        <v>6535000</v>
      </c>
      <c r="K472" s="418"/>
    </row>
    <row r="473" spans="1:11" x14ac:dyDescent="0.25">
      <c r="A473" s="440"/>
      <c r="B473" s="423" t="s">
        <v>561</v>
      </c>
      <c r="C473" s="423" t="s">
        <v>360</v>
      </c>
      <c r="D473" s="422"/>
      <c r="E473" s="424" t="s">
        <v>361</v>
      </c>
      <c r="F473" s="425">
        <f>SUM(F474:F475)</f>
        <v>4460000</v>
      </c>
      <c r="G473" s="425">
        <f>SUM(G474:G475)</f>
        <v>0</v>
      </c>
      <c r="H473" s="425">
        <f>SUM(H474:H475)</f>
        <v>375000</v>
      </c>
      <c r="I473" s="425">
        <f>SUM(I474:I475)</f>
        <v>375000</v>
      </c>
      <c r="J473" s="425">
        <f>SUM(J474:J475)</f>
        <v>4085000</v>
      </c>
      <c r="K473" s="422"/>
    </row>
    <row r="474" spans="1:11" x14ac:dyDescent="0.25">
      <c r="A474" s="439"/>
      <c r="B474" s="427" t="s">
        <v>561</v>
      </c>
      <c r="C474" s="427" t="s">
        <v>366</v>
      </c>
      <c r="D474" s="426"/>
      <c r="E474" s="428" t="s">
        <v>367</v>
      </c>
      <c r="F474" s="429">
        <v>375000</v>
      </c>
      <c r="G474" s="429">
        <v>0</v>
      </c>
      <c r="H474" s="429">
        <f>[2]Nov!I518</f>
        <v>375000</v>
      </c>
      <c r="I474" s="429">
        <f t="shared" ref="I474:I475" si="197">G474+H474</f>
        <v>375000</v>
      </c>
      <c r="J474" s="429">
        <f t="shared" ref="J474:J475" si="198">F474-I474</f>
        <v>0</v>
      </c>
      <c r="K474" s="426"/>
    </row>
    <row r="475" spans="1:11" x14ac:dyDescent="0.25">
      <c r="A475" s="439"/>
      <c r="B475" s="427" t="s">
        <v>561</v>
      </c>
      <c r="C475" s="427" t="s">
        <v>368</v>
      </c>
      <c r="D475" s="426"/>
      <c r="E475" s="428" t="s">
        <v>369</v>
      </c>
      <c r="F475" s="429">
        <v>4085000</v>
      </c>
      <c r="G475" s="429">
        <v>0</v>
      </c>
      <c r="H475" s="429">
        <f>[2]Nov!I519</f>
        <v>0</v>
      </c>
      <c r="I475" s="429">
        <f t="shared" si="197"/>
        <v>0</v>
      </c>
      <c r="J475" s="429">
        <f t="shared" si="198"/>
        <v>4085000</v>
      </c>
      <c r="K475" s="426"/>
    </row>
    <row r="476" spans="1:11" x14ac:dyDescent="0.25">
      <c r="A476" s="440"/>
      <c r="B476" s="423" t="s">
        <v>561</v>
      </c>
      <c r="C476" s="423" t="s">
        <v>370</v>
      </c>
      <c r="D476" s="422"/>
      <c r="E476" s="424" t="s">
        <v>81</v>
      </c>
      <c r="F476" s="425">
        <f>SUM(F477)</f>
        <v>1400000</v>
      </c>
      <c r="G476" s="425">
        <f>SUM(G477)</f>
        <v>0</v>
      </c>
      <c r="H476" s="425">
        <f>SUM(H477)</f>
        <v>0</v>
      </c>
      <c r="I476" s="425">
        <f>SUM(I477)</f>
        <v>0</v>
      </c>
      <c r="J476" s="425">
        <f>SUM(J477)</f>
        <v>1400000</v>
      </c>
      <c r="K476" s="422"/>
    </row>
    <row r="477" spans="1:11" x14ac:dyDescent="0.25">
      <c r="A477" s="439"/>
      <c r="B477" s="427" t="s">
        <v>561</v>
      </c>
      <c r="C477" s="427" t="s">
        <v>478</v>
      </c>
      <c r="D477" s="426"/>
      <c r="E477" s="428" t="s">
        <v>479</v>
      </c>
      <c r="F477" s="429">
        <v>1400000</v>
      </c>
      <c r="G477" s="429">
        <v>0</v>
      </c>
      <c r="H477" s="429">
        <f>[2]Nov!I521</f>
        <v>0</v>
      </c>
      <c r="I477" s="429">
        <f t="shared" ref="I477" si="199">G477+H477</f>
        <v>0</v>
      </c>
      <c r="J477" s="429">
        <f t="shared" ref="J477" si="200">F477-I477</f>
        <v>1400000</v>
      </c>
      <c r="K477" s="426"/>
    </row>
    <row r="478" spans="1:11" x14ac:dyDescent="0.25">
      <c r="A478" s="440"/>
      <c r="B478" s="423" t="s">
        <v>561</v>
      </c>
      <c r="C478" s="423" t="s">
        <v>455</v>
      </c>
      <c r="D478" s="422"/>
      <c r="E478" s="424" t="s">
        <v>83</v>
      </c>
      <c r="F478" s="425">
        <f>SUM(F479:F480)</f>
        <v>1050000</v>
      </c>
      <c r="G478" s="425">
        <f>SUM(G479:G480)</f>
        <v>0</v>
      </c>
      <c r="H478" s="425">
        <f>SUM(H479:H480)</f>
        <v>0</v>
      </c>
      <c r="I478" s="425">
        <f>SUM(I479:I480)</f>
        <v>0</v>
      </c>
      <c r="J478" s="425">
        <f>SUM(J479:J480)</f>
        <v>1050000</v>
      </c>
      <c r="K478" s="422"/>
    </row>
    <row r="479" spans="1:11" x14ac:dyDescent="0.25">
      <c r="A479" s="439"/>
      <c r="B479" s="427" t="s">
        <v>561</v>
      </c>
      <c r="C479" s="427" t="s">
        <v>467</v>
      </c>
      <c r="D479" s="426"/>
      <c r="E479" s="428" t="s">
        <v>468</v>
      </c>
      <c r="F479" s="429">
        <v>750000</v>
      </c>
      <c r="G479" s="429">
        <v>0</v>
      </c>
      <c r="H479" s="429">
        <f>[2]Nov!I523</f>
        <v>0</v>
      </c>
      <c r="I479" s="429">
        <f t="shared" ref="I479:I480" si="201">G479+H479</f>
        <v>0</v>
      </c>
      <c r="J479" s="429">
        <f t="shared" ref="J479:J480" si="202">F479-I479</f>
        <v>750000</v>
      </c>
      <c r="K479" s="426"/>
    </row>
    <row r="480" spans="1:11" x14ac:dyDescent="0.25">
      <c r="A480" s="450"/>
      <c r="B480" s="451" t="s">
        <v>561</v>
      </c>
      <c r="C480" s="451" t="s">
        <v>563</v>
      </c>
      <c r="D480" s="452"/>
      <c r="E480" s="453" t="s">
        <v>564</v>
      </c>
      <c r="F480" s="454">
        <v>300000</v>
      </c>
      <c r="G480" s="454">
        <v>0</v>
      </c>
      <c r="H480" s="429">
        <f>[2]Nov!I524</f>
        <v>0</v>
      </c>
      <c r="I480" s="454">
        <f t="shared" si="201"/>
        <v>0</v>
      </c>
      <c r="J480" s="454">
        <f t="shared" si="202"/>
        <v>300000</v>
      </c>
      <c r="K480" s="452"/>
    </row>
    <row r="481" spans="1:11" x14ac:dyDescent="0.25">
      <c r="A481" s="439"/>
      <c r="B481" s="427"/>
      <c r="C481" s="427"/>
      <c r="D481" s="426"/>
      <c r="E481" s="428"/>
      <c r="F481" s="429"/>
      <c r="G481" s="429"/>
      <c r="H481" s="429"/>
      <c r="I481" s="429"/>
      <c r="J481" s="429"/>
      <c r="K481" s="426"/>
    </row>
    <row r="482" spans="1:11" x14ac:dyDescent="0.25">
      <c r="A482" s="455"/>
      <c r="B482" s="456" t="s">
        <v>565</v>
      </c>
      <c r="C482" s="455"/>
      <c r="D482" s="457"/>
      <c r="E482" s="458" t="s">
        <v>566</v>
      </c>
      <c r="F482" s="459">
        <f>F483</f>
        <v>0</v>
      </c>
      <c r="G482" s="459">
        <f>G483</f>
        <v>0</v>
      </c>
      <c r="H482" s="459">
        <f>H483</f>
        <v>0</v>
      </c>
      <c r="I482" s="459">
        <f>I483</f>
        <v>0</v>
      </c>
      <c r="J482" s="459">
        <f>J483</f>
        <v>0</v>
      </c>
      <c r="K482" s="457"/>
    </row>
    <row r="483" spans="1:11" x14ac:dyDescent="0.25">
      <c r="A483" s="438"/>
      <c r="B483" s="419" t="s">
        <v>565</v>
      </c>
      <c r="C483" s="419" t="s">
        <v>359</v>
      </c>
      <c r="D483" s="418"/>
      <c r="E483" s="420" t="s">
        <v>67</v>
      </c>
      <c r="F483" s="421">
        <f>F484+F486+F488</f>
        <v>0</v>
      </c>
      <c r="G483" s="421">
        <f>G484+G486+G488</f>
        <v>0</v>
      </c>
      <c r="H483" s="421">
        <f>H484+H486+H488</f>
        <v>0</v>
      </c>
      <c r="I483" s="421">
        <f>I484+I486+I488</f>
        <v>0</v>
      </c>
      <c r="J483" s="421">
        <f>J484+J486+J488</f>
        <v>0</v>
      </c>
      <c r="K483" s="418"/>
    </row>
    <row r="484" spans="1:11" x14ac:dyDescent="0.25">
      <c r="A484" s="440"/>
      <c r="B484" s="423" t="s">
        <v>565</v>
      </c>
      <c r="C484" s="423" t="s">
        <v>360</v>
      </c>
      <c r="D484" s="422"/>
      <c r="E484" s="424" t="s">
        <v>361</v>
      </c>
      <c r="F484" s="425">
        <f>SUM(F485)</f>
        <v>0</v>
      </c>
      <c r="G484" s="425">
        <f>SUM(G485)</f>
        <v>0</v>
      </c>
      <c r="H484" s="425">
        <f>SUM(H485)</f>
        <v>0</v>
      </c>
      <c r="I484" s="425">
        <f>SUM(I485)</f>
        <v>0</v>
      </c>
      <c r="J484" s="425">
        <f>SUM(J485)</f>
        <v>0</v>
      </c>
      <c r="K484" s="422"/>
    </row>
    <row r="485" spans="1:11" x14ac:dyDescent="0.25">
      <c r="A485" s="439"/>
      <c r="B485" s="427" t="s">
        <v>565</v>
      </c>
      <c r="C485" s="427" t="s">
        <v>368</v>
      </c>
      <c r="D485" s="426"/>
      <c r="E485" s="428" t="s">
        <v>369</v>
      </c>
      <c r="F485" s="429">
        <v>0</v>
      </c>
      <c r="G485" s="429">
        <v>0</v>
      </c>
      <c r="H485" s="429">
        <f>[2]Nov!I529</f>
        <v>0</v>
      </c>
      <c r="I485" s="429">
        <f t="shared" ref="I485" si="203">G485+H485</f>
        <v>0</v>
      </c>
      <c r="J485" s="429">
        <f t="shared" ref="J485" si="204">F485-I485</f>
        <v>0</v>
      </c>
      <c r="K485" s="426"/>
    </row>
    <row r="486" spans="1:11" x14ac:dyDescent="0.25">
      <c r="A486" s="440"/>
      <c r="B486" s="423" t="s">
        <v>565</v>
      </c>
      <c r="C486" s="423" t="s">
        <v>455</v>
      </c>
      <c r="D486" s="422"/>
      <c r="E486" s="424" t="s">
        <v>83</v>
      </c>
      <c r="F486" s="425">
        <f>SUM(F487)</f>
        <v>0</v>
      </c>
      <c r="G486" s="425">
        <f>SUM(G487)</f>
        <v>0</v>
      </c>
      <c r="H486" s="425">
        <f>SUM(H487)</f>
        <v>0</v>
      </c>
      <c r="I486" s="425">
        <f>SUM(I487)</f>
        <v>0</v>
      </c>
      <c r="J486" s="425">
        <f>SUM(J487)</f>
        <v>0</v>
      </c>
      <c r="K486" s="422"/>
    </row>
    <row r="487" spans="1:11" x14ac:dyDescent="0.25">
      <c r="A487" s="439"/>
      <c r="B487" s="427" t="s">
        <v>565</v>
      </c>
      <c r="C487" s="427" t="s">
        <v>467</v>
      </c>
      <c r="D487" s="426"/>
      <c r="E487" s="428" t="s">
        <v>468</v>
      </c>
      <c r="F487" s="429">
        <v>0</v>
      </c>
      <c r="G487" s="429">
        <v>0</v>
      </c>
      <c r="H487" s="429">
        <f>[2]Nov!I531</f>
        <v>0</v>
      </c>
      <c r="I487" s="429">
        <f t="shared" ref="I487" si="205">G487+H487</f>
        <v>0</v>
      </c>
      <c r="J487" s="429">
        <f t="shared" ref="J487" si="206">F487-I487</f>
        <v>0</v>
      </c>
      <c r="K487" s="426"/>
    </row>
    <row r="488" spans="1:11" x14ac:dyDescent="0.25">
      <c r="A488" s="440"/>
      <c r="B488" s="423" t="s">
        <v>565</v>
      </c>
      <c r="C488" s="423" t="s">
        <v>460</v>
      </c>
      <c r="D488" s="422"/>
      <c r="E488" s="424" t="s">
        <v>461</v>
      </c>
      <c r="F488" s="425">
        <f>SUM(F489)</f>
        <v>0</v>
      </c>
      <c r="G488" s="425">
        <f>SUM(G489)</f>
        <v>0</v>
      </c>
      <c r="H488" s="425">
        <f>SUM(H489)</f>
        <v>0</v>
      </c>
      <c r="I488" s="425">
        <f>SUM(I489)</f>
        <v>0</v>
      </c>
      <c r="J488" s="425">
        <f>SUM(J489)</f>
        <v>0</v>
      </c>
      <c r="K488" s="422"/>
    </row>
    <row r="489" spans="1:11" x14ac:dyDescent="0.25">
      <c r="A489" s="439"/>
      <c r="B489" s="427" t="s">
        <v>565</v>
      </c>
      <c r="C489" s="427" t="s">
        <v>462</v>
      </c>
      <c r="D489" s="426"/>
      <c r="E489" s="428" t="s">
        <v>463</v>
      </c>
      <c r="F489" s="429">
        <v>0</v>
      </c>
      <c r="G489" s="429">
        <v>0</v>
      </c>
      <c r="H489" s="429">
        <f>[2]Nov!I533</f>
        <v>0</v>
      </c>
      <c r="I489" s="429">
        <f t="shared" ref="I489" si="207">G489+H489</f>
        <v>0</v>
      </c>
      <c r="J489" s="429">
        <f t="shared" ref="J489" si="208">F489-I489</f>
        <v>0</v>
      </c>
      <c r="K489" s="426"/>
    </row>
    <row r="490" spans="1:11" x14ac:dyDescent="0.25">
      <c r="A490" s="439"/>
      <c r="B490" s="427"/>
      <c r="C490" s="427"/>
      <c r="D490" s="426"/>
      <c r="E490" s="428"/>
      <c r="F490" s="429"/>
      <c r="G490" s="429"/>
      <c r="H490" s="429"/>
      <c r="I490" s="429"/>
      <c r="J490" s="429"/>
      <c r="K490" s="426"/>
    </row>
    <row r="491" spans="1:11" x14ac:dyDescent="0.25">
      <c r="A491" s="438"/>
      <c r="B491" s="419" t="s">
        <v>567</v>
      </c>
      <c r="C491" s="438"/>
      <c r="D491" s="420" t="s">
        <v>568</v>
      </c>
      <c r="E491" s="418"/>
      <c r="F491" s="421">
        <f>F492+F500</f>
        <v>2792500</v>
      </c>
      <c r="G491" s="421">
        <f>G492+G500</f>
        <v>295000</v>
      </c>
      <c r="H491" s="421">
        <f>H492+H500</f>
        <v>2468250</v>
      </c>
      <c r="I491" s="421">
        <f>I492+I500</f>
        <v>2763250</v>
      </c>
      <c r="J491" s="421">
        <f>J492+J500</f>
        <v>29250</v>
      </c>
      <c r="K491" s="418"/>
    </row>
    <row r="492" spans="1:11" x14ac:dyDescent="0.25">
      <c r="A492" s="438"/>
      <c r="B492" s="419" t="s">
        <v>569</v>
      </c>
      <c r="C492" s="438"/>
      <c r="D492" s="418"/>
      <c r="E492" s="420" t="s">
        <v>570</v>
      </c>
      <c r="F492" s="421">
        <f>F493</f>
        <v>1320000</v>
      </c>
      <c r="G492" s="421">
        <f>G493</f>
        <v>0</v>
      </c>
      <c r="H492" s="421">
        <f>H493</f>
        <v>1320000</v>
      </c>
      <c r="I492" s="421">
        <f>I493</f>
        <v>1320000</v>
      </c>
      <c r="J492" s="421">
        <f>J493</f>
        <v>0</v>
      </c>
      <c r="K492" s="418"/>
    </row>
    <row r="493" spans="1:11" x14ac:dyDescent="0.25">
      <c r="A493" s="438"/>
      <c r="B493" s="419" t="s">
        <v>569</v>
      </c>
      <c r="C493" s="419" t="s">
        <v>359</v>
      </c>
      <c r="D493" s="418"/>
      <c r="E493" s="420" t="s">
        <v>67</v>
      </c>
      <c r="F493" s="421">
        <f>F494+F497</f>
        <v>1320000</v>
      </c>
      <c r="G493" s="421">
        <f>G494+G497</f>
        <v>0</v>
      </c>
      <c r="H493" s="421">
        <f>H494+H497</f>
        <v>1320000</v>
      </c>
      <c r="I493" s="421">
        <f>I494+I497</f>
        <v>1320000</v>
      </c>
      <c r="J493" s="421">
        <f>J494+J497</f>
        <v>0</v>
      </c>
      <c r="K493" s="418"/>
    </row>
    <row r="494" spans="1:11" x14ac:dyDescent="0.25">
      <c r="A494" s="440"/>
      <c r="B494" s="423" t="s">
        <v>569</v>
      </c>
      <c r="C494" s="423" t="s">
        <v>360</v>
      </c>
      <c r="D494" s="422"/>
      <c r="E494" s="424" t="s">
        <v>361</v>
      </c>
      <c r="F494" s="425">
        <f>SUM(F495:F496)</f>
        <v>870000</v>
      </c>
      <c r="G494" s="425">
        <f>SUM(G495:G496)</f>
        <v>0</v>
      </c>
      <c r="H494" s="425">
        <f>SUM(H495:H496)</f>
        <v>870000</v>
      </c>
      <c r="I494" s="425">
        <f>SUM(I495:I496)</f>
        <v>870000</v>
      </c>
      <c r="J494" s="425">
        <f>SUM(J495:J496)</f>
        <v>0</v>
      </c>
      <c r="K494" s="422"/>
    </row>
    <row r="495" spans="1:11" x14ac:dyDescent="0.25">
      <c r="A495" s="439"/>
      <c r="B495" s="427" t="s">
        <v>569</v>
      </c>
      <c r="C495" s="427" t="s">
        <v>366</v>
      </c>
      <c r="D495" s="426"/>
      <c r="E495" s="428" t="s">
        <v>367</v>
      </c>
      <c r="F495" s="429">
        <v>50000</v>
      </c>
      <c r="G495" s="429">
        <v>0</v>
      </c>
      <c r="H495" s="429">
        <f>[2]Nov!I539</f>
        <v>50000</v>
      </c>
      <c r="I495" s="429">
        <f t="shared" ref="I495:I496" si="209">G495+H495</f>
        <v>50000</v>
      </c>
      <c r="J495" s="429">
        <f t="shared" ref="J495:J496" si="210">F495-I495</f>
        <v>0</v>
      </c>
      <c r="K495" s="426"/>
    </row>
    <row r="496" spans="1:11" x14ac:dyDescent="0.25">
      <c r="A496" s="439"/>
      <c r="B496" s="427" t="s">
        <v>569</v>
      </c>
      <c r="C496" s="427" t="s">
        <v>368</v>
      </c>
      <c r="D496" s="426"/>
      <c r="E496" s="428" t="s">
        <v>369</v>
      </c>
      <c r="F496" s="429">
        <v>820000</v>
      </c>
      <c r="G496" s="429">
        <v>0</v>
      </c>
      <c r="H496" s="429">
        <f>[2]Nov!I540</f>
        <v>820000</v>
      </c>
      <c r="I496" s="429">
        <f t="shared" si="209"/>
        <v>820000</v>
      </c>
      <c r="J496" s="429">
        <f t="shared" si="210"/>
        <v>0</v>
      </c>
      <c r="K496" s="426"/>
    </row>
    <row r="497" spans="1:11" x14ac:dyDescent="0.25">
      <c r="A497" s="440"/>
      <c r="B497" s="423" t="s">
        <v>569</v>
      </c>
      <c r="C497" s="423" t="s">
        <v>370</v>
      </c>
      <c r="D497" s="422"/>
      <c r="E497" s="424" t="s">
        <v>81</v>
      </c>
      <c r="F497" s="425">
        <f>SUM(F498)</f>
        <v>450000</v>
      </c>
      <c r="G497" s="425">
        <f>SUM(G498)</f>
        <v>0</v>
      </c>
      <c r="H497" s="425">
        <f>SUM(H498)</f>
        <v>450000</v>
      </c>
      <c r="I497" s="425">
        <f>SUM(I498)</f>
        <v>450000</v>
      </c>
      <c r="J497" s="425">
        <f>SUM(J498)</f>
        <v>0</v>
      </c>
      <c r="K497" s="422"/>
    </row>
    <row r="498" spans="1:11" x14ac:dyDescent="0.25">
      <c r="A498" s="439"/>
      <c r="B498" s="427" t="s">
        <v>569</v>
      </c>
      <c r="C498" s="427" t="s">
        <v>476</v>
      </c>
      <c r="D498" s="426"/>
      <c r="E498" s="428" t="s">
        <v>477</v>
      </c>
      <c r="F498" s="429">
        <v>450000</v>
      </c>
      <c r="G498" s="429">
        <v>0</v>
      </c>
      <c r="H498" s="429">
        <f>[2]Nov!I542</f>
        <v>450000</v>
      </c>
      <c r="I498" s="429">
        <f t="shared" ref="I498" si="211">G498+H498</f>
        <v>450000</v>
      </c>
      <c r="J498" s="429">
        <f t="shared" ref="J498" si="212">F498-I498</f>
        <v>0</v>
      </c>
      <c r="K498" s="426"/>
    </row>
    <row r="499" spans="1:11" x14ac:dyDescent="0.25">
      <c r="A499" s="439"/>
      <c r="B499" s="427"/>
      <c r="C499" s="427"/>
      <c r="D499" s="426"/>
      <c r="E499" s="428"/>
      <c r="F499" s="429"/>
      <c r="G499" s="429"/>
      <c r="H499" s="429"/>
      <c r="I499" s="429"/>
      <c r="J499" s="429"/>
      <c r="K499" s="426"/>
    </row>
    <row r="500" spans="1:11" x14ac:dyDescent="0.25">
      <c r="A500" s="438"/>
      <c r="B500" s="419" t="s">
        <v>571</v>
      </c>
      <c r="C500" s="438"/>
      <c r="D500" s="418"/>
      <c r="E500" s="420" t="s">
        <v>572</v>
      </c>
      <c r="F500" s="421">
        <f t="shared" ref="F500:J501" si="213">F501</f>
        <v>1472500</v>
      </c>
      <c r="G500" s="421">
        <f t="shared" si="213"/>
        <v>295000</v>
      </c>
      <c r="H500" s="421">
        <f t="shared" si="213"/>
        <v>1148250</v>
      </c>
      <c r="I500" s="421">
        <f t="shared" si="213"/>
        <v>1443250</v>
      </c>
      <c r="J500" s="421">
        <f t="shared" si="213"/>
        <v>29250</v>
      </c>
      <c r="K500" s="418"/>
    </row>
    <row r="501" spans="1:11" x14ac:dyDescent="0.25">
      <c r="A501" s="438"/>
      <c r="B501" s="419" t="s">
        <v>571</v>
      </c>
      <c r="C501" s="419" t="s">
        <v>359</v>
      </c>
      <c r="D501" s="418"/>
      <c r="E501" s="420" t="s">
        <v>67</v>
      </c>
      <c r="F501" s="421">
        <f t="shared" si="213"/>
        <v>1472500</v>
      </c>
      <c r="G501" s="421">
        <f t="shared" si="213"/>
        <v>295000</v>
      </c>
      <c r="H501" s="421">
        <f t="shared" si="213"/>
        <v>1148250</v>
      </c>
      <c r="I501" s="421">
        <f t="shared" si="213"/>
        <v>1443250</v>
      </c>
      <c r="J501" s="421">
        <f t="shared" si="213"/>
        <v>29250</v>
      </c>
      <c r="K501" s="418"/>
    </row>
    <row r="502" spans="1:11" x14ac:dyDescent="0.25">
      <c r="A502" s="440"/>
      <c r="B502" s="423" t="s">
        <v>571</v>
      </c>
      <c r="C502" s="423" t="s">
        <v>360</v>
      </c>
      <c r="D502" s="422"/>
      <c r="E502" s="424" t="s">
        <v>361</v>
      </c>
      <c r="F502" s="425">
        <f>SUM(F503:F505)</f>
        <v>1472500</v>
      </c>
      <c r="G502" s="425">
        <f>SUM(G503:G505)</f>
        <v>295000</v>
      </c>
      <c r="H502" s="425">
        <f>SUM(H503:H505)</f>
        <v>1148250</v>
      </c>
      <c r="I502" s="425">
        <f>SUM(I503:I505)</f>
        <v>1443250</v>
      </c>
      <c r="J502" s="425">
        <f>SUM(J503:J505)</f>
        <v>29250</v>
      </c>
      <c r="K502" s="422"/>
    </row>
    <row r="503" spans="1:11" x14ac:dyDescent="0.25">
      <c r="A503" s="439"/>
      <c r="B503" s="427" t="s">
        <v>571</v>
      </c>
      <c r="C503" s="427" t="s">
        <v>362</v>
      </c>
      <c r="D503" s="426"/>
      <c r="E503" s="428" t="s">
        <v>363</v>
      </c>
      <c r="F503" s="429">
        <v>200000</v>
      </c>
      <c r="G503" s="429">
        <v>0</v>
      </c>
      <c r="H503" s="429">
        <f>[2]Nov!I549</f>
        <v>200000</v>
      </c>
      <c r="I503" s="429">
        <f t="shared" ref="I503:I505" si="214">G503+H503</f>
        <v>200000</v>
      </c>
      <c r="J503" s="429">
        <f t="shared" ref="J503:J505" si="215">F503-I503</f>
        <v>0</v>
      </c>
      <c r="K503" s="426"/>
    </row>
    <row r="504" spans="1:11" x14ac:dyDescent="0.25">
      <c r="A504" s="439"/>
      <c r="B504" s="427" t="s">
        <v>571</v>
      </c>
      <c r="C504" s="427" t="s">
        <v>366</v>
      </c>
      <c r="D504" s="426"/>
      <c r="E504" s="428" t="s">
        <v>367</v>
      </c>
      <c r="F504" s="429">
        <v>200000</v>
      </c>
      <c r="G504" s="429">
        <v>100000</v>
      </c>
      <c r="H504" s="429">
        <f>[2]Nov!I550</f>
        <v>100000</v>
      </c>
      <c r="I504" s="429">
        <f t="shared" si="214"/>
        <v>200000</v>
      </c>
      <c r="J504" s="429">
        <f t="shared" si="215"/>
        <v>0</v>
      </c>
      <c r="K504" s="426"/>
    </row>
    <row r="505" spans="1:11" x14ac:dyDescent="0.25">
      <c r="A505" s="439"/>
      <c r="B505" s="427" t="s">
        <v>571</v>
      </c>
      <c r="C505" s="427" t="s">
        <v>368</v>
      </c>
      <c r="D505" s="426"/>
      <c r="E505" s="428" t="s">
        <v>369</v>
      </c>
      <c r="F505" s="429">
        <v>1072500</v>
      </c>
      <c r="G505" s="429">
        <v>195000</v>
      </c>
      <c r="H505" s="429">
        <f>[2]Nov!I551</f>
        <v>848250</v>
      </c>
      <c r="I505" s="429">
        <f t="shared" si="214"/>
        <v>1043250</v>
      </c>
      <c r="J505" s="429">
        <f t="shared" si="215"/>
        <v>29250</v>
      </c>
      <c r="K505" s="426"/>
    </row>
    <row r="506" spans="1:11" x14ac:dyDescent="0.25">
      <c r="A506" s="439"/>
      <c r="B506" s="427"/>
      <c r="C506" s="427"/>
      <c r="D506" s="426"/>
      <c r="E506" s="428"/>
      <c r="F506" s="429"/>
      <c r="G506" s="429"/>
      <c r="H506" s="429"/>
      <c r="I506" s="429"/>
      <c r="J506" s="429"/>
      <c r="K506" s="426"/>
    </row>
    <row r="507" spans="1:11" x14ac:dyDescent="0.25">
      <c r="A507" s="438"/>
      <c r="B507" s="419" t="s">
        <v>573</v>
      </c>
      <c r="C507" s="438"/>
      <c r="D507" s="420" t="s">
        <v>112</v>
      </c>
      <c r="E507" s="418"/>
      <c r="F507" s="421">
        <f>F508+F516+F523+F532+F540+F546+F554+F561</f>
        <v>15272520</v>
      </c>
      <c r="G507" s="421">
        <f>G508+G516+G523+G532+G540+G546+G554+G561</f>
        <v>3729500</v>
      </c>
      <c r="H507" s="421">
        <f>H508+H516+H523+H532+H540+H546+H554+H561</f>
        <v>10311500</v>
      </c>
      <c r="I507" s="421">
        <f>I508+I516+I523+I532+I540+I546+I554+I561</f>
        <v>14041000</v>
      </c>
      <c r="J507" s="421">
        <f>J508+J516+J523+J532+J540+J546+J554+J561</f>
        <v>1231520</v>
      </c>
      <c r="K507" s="418"/>
    </row>
    <row r="508" spans="1:11" x14ac:dyDescent="0.25">
      <c r="A508" s="438"/>
      <c r="B508" s="419" t="s">
        <v>574</v>
      </c>
      <c r="C508" s="438"/>
      <c r="D508" s="418"/>
      <c r="E508" s="420" t="s">
        <v>575</v>
      </c>
      <c r="F508" s="421">
        <f>F509</f>
        <v>1320000</v>
      </c>
      <c r="G508" s="421">
        <f>G509</f>
        <v>0</v>
      </c>
      <c r="H508" s="421">
        <f>H509</f>
        <v>1320000</v>
      </c>
      <c r="I508" s="421">
        <f>I509</f>
        <v>1320000</v>
      </c>
      <c r="J508" s="421">
        <f>J509</f>
        <v>0</v>
      </c>
      <c r="K508" s="418"/>
    </row>
    <row r="509" spans="1:11" x14ac:dyDescent="0.25">
      <c r="A509" s="438"/>
      <c r="B509" s="419" t="s">
        <v>574</v>
      </c>
      <c r="C509" s="419" t="s">
        <v>359</v>
      </c>
      <c r="D509" s="418"/>
      <c r="E509" s="420" t="s">
        <v>67</v>
      </c>
      <c r="F509" s="421">
        <f>F510+F513</f>
        <v>1320000</v>
      </c>
      <c r="G509" s="421">
        <f>G510+G513</f>
        <v>0</v>
      </c>
      <c r="H509" s="421">
        <f>H510+H513</f>
        <v>1320000</v>
      </c>
      <c r="I509" s="421">
        <f>I510+I513</f>
        <v>1320000</v>
      </c>
      <c r="J509" s="421">
        <f>J510+J513</f>
        <v>0</v>
      </c>
      <c r="K509" s="418"/>
    </row>
    <row r="510" spans="1:11" x14ac:dyDescent="0.25">
      <c r="A510" s="440"/>
      <c r="B510" s="423" t="s">
        <v>574</v>
      </c>
      <c r="C510" s="423" t="s">
        <v>360</v>
      </c>
      <c r="D510" s="422"/>
      <c r="E510" s="424" t="s">
        <v>361</v>
      </c>
      <c r="F510" s="425">
        <f>SUM(F511:F512)</f>
        <v>870000</v>
      </c>
      <c r="G510" s="425">
        <f>SUM(G511:G512)</f>
        <v>0</v>
      </c>
      <c r="H510" s="425">
        <f>SUM(H511:H512)</f>
        <v>870000</v>
      </c>
      <c r="I510" s="425">
        <f>SUM(I511:I512)</f>
        <v>870000</v>
      </c>
      <c r="J510" s="425">
        <f>SUM(J511:J512)</f>
        <v>0</v>
      </c>
      <c r="K510" s="422"/>
    </row>
    <row r="511" spans="1:11" x14ac:dyDescent="0.25">
      <c r="A511" s="439"/>
      <c r="B511" s="427" t="s">
        <v>574</v>
      </c>
      <c r="C511" s="427" t="s">
        <v>366</v>
      </c>
      <c r="D511" s="426"/>
      <c r="E511" s="428" t="s">
        <v>367</v>
      </c>
      <c r="F511" s="429">
        <v>50000</v>
      </c>
      <c r="G511" s="429">
        <v>0</v>
      </c>
      <c r="H511" s="429">
        <f>[2]Nov!I557</f>
        <v>50000</v>
      </c>
      <c r="I511" s="429">
        <f t="shared" ref="I511:I512" si="216">G511+H511</f>
        <v>50000</v>
      </c>
      <c r="J511" s="429">
        <f t="shared" ref="J511:J512" si="217">F511-I511</f>
        <v>0</v>
      </c>
      <c r="K511" s="426"/>
    </row>
    <row r="512" spans="1:11" x14ac:dyDescent="0.25">
      <c r="A512" s="439"/>
      <c r="B512" s="427" t="s">
        <v>574</v>
      </c>
      <c r="C512" s="427" t="s">
        <v>368</v>
      </c>
      <c r="D512" s="426"/>
      <c r="E512" s="428" t="s">
        <v>369</v>
      </c>
      <c r="F512" s="429">
        <v>820000</v>
      </c>
      <c r="G512" s="429">
        <v>0</v>
      </c>
      <c r="H512" s="429">
        <f>[2]Nov!I558</f>
        <v>820000</v>
      </c>
      <c r="I512" s="429">
        <f t="shared" si="216"/>
        <v>820000</v>
      </c>
      <c r="J512" s="429">
        <f t="shared" si="217"/>
        <v>0</v>
      </c>
      <c r="K512" s="426"/>
    </row>
    <row r="513" spans="1:11" x14ac:dyDescent="0.25">
      <c r="A513" s="440"/>
      <c r="B513" s="423" t="s">
        <v>574</v>
      </c>
      <c r="C513" s="423" t="s">
        <v>370</v>
      </c>
      <c r="D513" s="422"/>
      <c r="E513" s="424" t="s">
        <v>81</v>
      </c>
      <c r="F513" s="425">
        <f>SUM(F514)</f>
        <v>450000</v>
      </c>
      <c r="G513" s="425">
        <f>SUM(G514)</f>
        <v>0</v>
      </c>
      <c r="H513" s="425">
        <f>SUM(H514)</f>
        <v>450000</v>
      </c>
      <c r="I513" s="425">
        <f>SUM(I514)</f>
        <v>450000</v>
      </c>
      <c r="J513" s="425">
        <f>SUM(J514)</f>
        <v>0</v>
      </c>
      <c r="K513" s="422"/>
    </row>
    <row r="514" spans="1:11" x14ac:dyDescent="0.25">
      <c r="A514" s="439"/>
      <c r="B514" s="427" t="s">
        <v>574</v>
      </c>
      <c r="C514" s="427" t="s">
        <v>476</v>
      </c>
      <c r="D514" s="426"/>
      <c r="E514" s="428" t="s">
        <v>477</v>
      </c>
      <c r="F514" s="429">
        <v>450000</v>
      </c>
      <c r="G514" s="429">
        <v>0</v>
      </c>
      <c r="H514" s="429">
        <f>[2]Nov!I560</f>
        <v>450000</v>
      </c>
      <c r="I514" s="429">
        <f t="shared" ref="I514" si="218">G514+H514</f>
        <v>450000</v>
      </c>
      <c r="J514" s="429">
        <f t="shared" ref="J514" si="219">F514-I514</f>
        <v>0</v>
      </c>
      <c r="K514" s="426"/>
    </row>
    <row r="515" spans="1:11" x14ac:dyDescent="0.25">
      <c r="A515" s="439"/>
      <c r="B515" s="427"/>
      <c r="C515" s="427"/>
      <c r="D515" s="426"/>
      <c r="E515" s="428"/>
      <c r="F515" s="429"/>
      <c r="G515" s="429"/>
      <c r="H515" s="429"/>
      <c r="I515" s="429"/>
      <c r="J515" s="429"/>
      <c r="K515" s="426"/>
    </row>
    <row r="516" spans="1:11" x14ac:dyDescent="0.25">
      <c r="A516" s="439"/>
      <c r="B516" s="419" t="s">
        <v>576</v>
      </c>
      <c r="C516" s="438"/>
      <c r="D516" s="418"/>
      <c r="E516" s="420" t="s">
        <v>577</v>
      </c>
      <c r="F516" s="421">
        <f>F517</f>
        <v>950000</v>
      </c>
      <c r="G516" s="421">
        <f>G517</f>
        <v>0</v>
      </c>
      <c r="H516" s="421">
        <f>H517</f>
        <v>950000</v>
      </c>
      <c r="I516" s="421">
        <f>I517</f>
        <v>950000</v>
      </c>
      <c r="J516" s="421">
        <f>J517</f>
        <v>0</v>
      </c>
      <c r="K516" s="418"/>
    </row>
    <row r="517" spans="1:11" x14ac:dyDescent="0.25">
      <c r="A517" s="438"/>
      <c r="B517" s="419" t="s">
        <v>576</v>
      </c>
      <c r="C517" s="419" t="s">
        <v>359</v>
      </c>
      <c r="D517" s="418"/>
      <c r="E517" s="420" t="s">
        <v>67</v>
      </c>
      <c r="F517" s="421">
        <f>F518+F520</f>
        <v>950000</v>
      </c>
      <c r="G517" s="421">
        <f>G518+G520</f>
        <v>0</v>
      </c>
      <c r="H517" s="421">
        <f>H518+H520</f>
        <v>950000</v>
      </c>
      <c r="I517" s="421">
        <f>I518+I520</f>
        <v>950000</v>
      </c>
      <c r="J517" s="421">
        <f>J518+J520</f>
        <v>0</v>
      </c>
      <c r="K517" s="418"/>
    </row>
    <row r="518" spans="1:11" x14ac:dyDescent="0.25">
      <c r="A518" s="438"/>
      <c r="B518" s="423" t="s">
        <v>576</v>
      </c>
      <c r="C518" s="423" t="s">
        <v>360</v>
      </c>
      <c r="D518" s="422"/>
      <c r="E518" s="424" t="s">
        <v>361</v>
      </c>
      <c r="F518" s="425">
        <f>SUM(F519)</f>
        <v>500000</v>
      </c>
      <c r="G518" s="425">
        <f>SUM(G519)</f>
        <v>0</v>
      </c>
      <c r="H518" s="425">
        <f>SUM(H519)</f>
        <v>500000</v>
      </c>
      <c r="I518" s="425">
        <f>SUM(I519)</f>
        <v>500000</v>
      </c>
      <c r="J518" s="425">
        <f>SUM(J519)</f>
        <v>0</v>
      </c>
      <c r="K518" s="422"/>
    </row>
    <row r="519" spans="1:11" x14ac:dyDescent="0.25">
      <c r="A519" s="440"/>
      <c r="B519" s="427" t="s">
        <v>576</v>
      </c>
      <c r="C519" s="427" t="s">
        <v>368</v>
      </c>
      <c r="D519" s="426"/>
      <c r="E519" s="428" t="s">
        <v>369</v>
      </c>
      <c r="F519" s="429">
        <v>500000</v>
      </c>
      <c r="G519" s="429">
        <v>0</v>
      </c>
      <c r="H519" s="429">
        <f>[2]Nov!I565</f>
        <v>500000</v>
      </c>
      <c r="I519" s="429">
        <f t="shared" ref="I519" si="220">G519+H519</f>
        <v>500000</v>
      </c>
      <c r="J519" s="429">
        <f t="shared" ref="J519" si="221">F519-I519</f>
        <v>0</v>
      </c>
      <c r="K519" s="426"/>
    </row>
    <row r="520" spans="1:11" x14ac:dyDescent="0.25">
      <c r="A520" s="439"/>
      <c r="B520" s="423" t="s">
        <v>576</v>
      </c>
      <c r="C520" s="423" t="s">
        <v>370</v>
      </c>
      <c r="D520" s="422"/>
      <c r="E520" s="424" t="s">
        <v>81</v>
      </c>
      <c r="F520" s="425">
        <f>SUM(F521)</f>
        <v>450000</v>
      </c>
      <c r="G520" s="425">
        <f>SUM(G521)</f>
        <v>0</v>
      </c>
      <c r="H520" s="425">
        <f>SUM(H521)</f>
        <v>450000</v>
      </c>
      <c r="I520" s="425">
        <f>SUM(I521)</f>
        <v>450000</v>
      </c>
      <c r="J520" s="425">
        <f>SUM(J521)</f>
        <v>0</v>
      </c>
      <c r="K520" s="422"/>
    </row>
    <row r="521" spans="1:11" x14ac:dyDescent="0.25">
      <c r="A521" s="440"/>
      <c r="B521" s="451" t="s">
        <v>576</v>
      </c>
      <c r="C521" s="451" t="s">
        <v>476</v>
      </c>
      <c r="D521" s="452"/>
      <c r="E521" s="453" t="s">
        <v>477</v>
      </c>
      <c r="F521" s="454">
        <v>450000</v>
      </c>
      <c r="G521" s="454">
        <v>0</v>
      </c>
      <c r="H521" s="429">
        <f>[2]Nov!I567</f>
        <v>450000</v>
      </c>
      <c r="I521" s="454">
        <f t="shared" ref="I521" si="222">G521+H521</f>
        <v>450000</v>
      </c>
      <c r="J521" s="454">
        <f t="shared" ref="J521" si="223">F521-I521</f>
        <v>0</v>
      </c>
      <c r="K521" s="452"/>
    </row>
    <row r="522" spans="1:11" x14ac:dyDescent="0.25">
      <c r="A522" s="450"/>
      <c r="B522" s="427"/>
      <c r="C522" s="427"/>
      <c r="D522" s="426"/>
      <c r="E522" s="428"/>
      <c r="F522" s="429"/>
      <c r="G522" s="429"/>
      <c r="H522" s="429"/>
      <c r="I522" s="429"/>
      <c r="J522" s="429"/>
      <c r="K522" s="426"/>
    </row>
    <row r="523" spans="1:11" x14ac:dyDescent="0.25">
      <c r="A523" s="439"/>
      <c r="B523" s="456" t="s">
        <v>578</v>
      </c>
      <c r="C523" s="455"/>
      <c r="D523" s="457"/>
      <c r="E523" s="458" t="s">
        <v>579</v>
      </c>
      <c r="F523" s="459">
        <f>F524</f>
        <v>3233020</v>
      </c>
      <c r="G523" s="459">
        <f>G524</f>
        <v>787500</v>
      </c>
      <c r="H523" s="459">
        <f>H524</f>
        <v>2441250</v>
      </c>
      <c r="I523" s="459">
        <f>I524</f>
        <v>3228750</v>
      </c>
      <c r="J523" s="459">
        <f>J524</f>
        <v>4270</v>
      </c>
      <c r="K523" s="457"/>
    </row>
    <row r="524" spans="1:11" x14ac:dyDescent="0.25">
      <c r="A524" s="455"/>
      <c r="B524" s="419" t="s">
        <v>578</v>
      </c>
      <c r="C524" s="419" t="s">
        <v>359</v>
      </c>
      <c r="D524" s="418"/>
      <c r="E524" s="420" t="s">
        <v>67</v>
      </c>
      <c r="F524" s="421">
        <f>F525+F529</f>
        <v>3233020</v>
      </c>
      <c r="G524" s="421">
        <f>G525+G529</f>
        <v>787500</v>
      </c>
      <c r="H524" s="421">
        <f>H525+H529</f>
        <v>2441250</v>
      </c>
      <c r="I524" s="421">
        <f>I525+I529</f>
        <v>3228750</v>
      </c>
      <c r="J524" s="421">
        <f>J525+J529</f>
        <v>4270</v>
      </c>
      <c r="K524" s="418"/>
    </row>
    <row r="525" spans="1:11" x14ac:dyDescent="0.25">
      <c r="A525" s="438"/>
      <c r="B525" s="423" t="s">
        <v>578</v>
      </c>
      <c r="C525" s="423" t="s">
        <v>360</v>
      </c>
      <c r="D525" s="422"/>
      <c r="E525" s="424" t="s">
        <v>361</v>
      </c>
      <c r="F525" s="425">
        <f>SUM(F526:F528)</f>
        <v>233020</v>
      </c>
      <c r="G525" s="425">
        <f>SUM(G526:G528)</f>
        <v>37500</v>
      </c>
      <c r="H525" s="425">
        <f>SUM(H526:H528)</f>
        <v>191250</v>
      </c>
      <c r="I525" s="425">
        <f>SUM(I526:I528)</f>
        <v>228750</v>
      </c>
      <c r="J525" s="425">
        <f>SUM(J526:J528)</f>
        <v>4270</v>
      </c>
      <c r="K525" s="422"/>
    </row>
    <row r="526" spans="1:11" x14ac:dyDescent="0.25">
      <c r="A526" s="440"/>
      <c r="B526" s="427" t="s">
        <v>578</v>
      </c>
      <c r="C526" s="427" t="s">
        <v>362</v>
      </c>
      <c r="D526" s="426"/>
      <c r="E526" s="428" t="s">
        <v>363</v>
      </c>
      <c r="F526" s="429">
        <v>49420</v>
      </c>
      <c r="G526" s="429">
        <v>0</v>
      </c>
      <c r="H526" s="429">
        <f>[2]Nov!I572</f>
        <v>49000</v>
      </c>
      <c r="I526" s="429">
        <f t="shared" ref="I526:I528" si="224">G526+H526</f>
        <v>49000</v>
      </c>
      <c r="J526" s="429">
        <f t="shared" ref="J526:J528" si="225">F526-I526</f>
        <v>420</v>
      </c>
      <c r="K526" s="426"/>
    </row>
    <row r="527" spans="1:11" x14ac:dyDescent="0.25">
      <c r="A527" s="439"/>
      <c r="B527" s="427" t="s">
        <v>578</v>
      </c>
      <c r="C527" s="427" t="s">
        <v>366</v>
      </c>
      <c r="D527" s="426"/>
      <c r="E527" s="428" t="s">
        <v>367</v>
      </c>
      <c r="F527" s="429">
        <v>33600</v>
      </c>
      <c r="G527" s="429">
        <v>0</v>
      </c>
      <c r="H527" s="429">
        <f>[2]Nov!I573</f>
        <v>33500</v>
      </c>
      <c r="I527" s="429">
        <f t="shared" si="224"/>
        <v>33500</v>
      </c>
      <c r="J527" s="429">
        <f t="shared" si="225"/>
        <v>100</v>
      </c>
      <c r="K527" s="426"/>
    </row>
    <row r="528" spans="1:11" x14ac:dyDescent="0.25">
      <c r="A528" s="439"/>
      <c r="B528" s="427" t="s">
        <v>578</v>
      </c>
      <c r="C528" s="427" t="s">
        <v>368</v>
      </c>
      <c r="D528" s="426"/>
      <c r="E528" s="428" t="s">
        <v>369</v>
      </c>
      <c r="F528" s="429">
        <v>150000</v>
      </c>
      <c r="G528" s="429">
        <v>37500</v>
      </c>
      <c r="H528" s="429">
        <f>[2]Nov!I574</f>
        <v>108750</v>
      </c>
      <c r="I528" s="429">
        <f t="shared" si="224"/>
        <v>146250</v>
      </c>
      <c r="J528" s="429">
        <f t="shared" si="225"/>
        <v>3750</v>
      </c>
      <c r="K528" s="426"/>
    </row>
    <row r="529" spans="1:11" x14ac:dyDescent="0.25">
      <c r="A529" s="439"/>
      <c r="B529" s="423" t="s">
        <v>578</v>
      </c>
      <c r="C529" s="423" t="s">
        <v>370</v>
      </c>
      <c r="D529" s="422"/>
      <c r="E529" s="424" t="s">
        <v>81</v>
      </c>
      <c r="F529" s="425">
        <f>SUM(F530)</f>
        <v>3000000</v>
      </c>
      <c r="G529" s="425">
        <f>SUM(G530)</f>
        <v>750000</v>
      </c>
      <c r="H529" s="425">
        <f>SUM(H530)</f>
        <v>2250000</v>
      </c>
      <c r="I529" s="425">
        <f>SUM(I530)</f>
        <v>3000000</v>
      </c>
      <c r="J529" s="425">
        <f>SUM(J530)</f>
        <v>0</v>
      </c>
      <c r="K529" s="422"/>
    </row>
    <row r="530" spans="1:11" x14ac:dyDescent="0.25">
      <c r="A530" s="440"/>
      <c r="B530" s="427" t="s">
        <v>578</v>
      </c>
      <c r="C530" s="427" t="s">
        <v>398</v>
      </c>
      <c r="D530" s="426"/>
      <c r="E530" s="428" t="s">
        <v>399</v>
      </c>
      <c r="F530" s="429">
        <v>3000000</v>
      </c>
      <c r="G530" s="429">
        <v>750000</v>
      </c>
      <c r="H530" s="429">
        <f>[2]Nov!I576</f>
        <v>2250000</v>
      </c>
      <c r="I530" s="429">
        <f t="shared" ref="I530" si="226">G530+H530</f>
        <v>3000000</v>
      </c>
      <c r="J530" s="429">
        <f t="shared" ref="J530" si="227">F530-I530</f>
        <v>0</v>
      </c>
      <c r="K530" s="426"/>
    </row>
    <row r="531" spans="1:11" x14ac:dyDescent="0.25">
      <c r="A531" s="439"/>
      <c r="B531" s="427"/>
      <c r="C531" s="427"/>
      <c r="D531" s="426"/>
      <c r="E531" s="428"/>
      <c r="F531" s="429"/>
      <c r="G531" s="429"/>
      <c r="H531" s="429"/>
      <c r="I531" s="429"/>
      <c r="J531" s="429"/>
      <c r="K531" s="426"/>
    </row>
    <row r="532" spans="1:11" ht="38.25" x14ac:dyDescent="0.25">
      <c r="A532" s="439"/>
      <c r="B532" s="449" t="s">
        <v>580</v>
      </c>
      <c r="C532" s="438"/>
      <c r="D532" s="418"/>
      <c r="E532" s="442" t="s">
        <v>581</v>
      </c>
      <c r="F532" s="443">
        <f>F533</f>
        <v>2317000</v>
      </c>
      <c r="G532" s="443">
        <f>G533</f>
        <v>2317000</v>
      </c>
      <c r="H532" s="443">
        <f>H533</f>
        <v>0</v>
      </c>
      <c r="I532" s="443">
        <f>I533</f>
        <v>2317000</v>
      </c>
      <c r="J532" s="443">
        <f>J533</f>
        <v>0</v>
      </c>
      <c r="K532" s="418"/>
    </row>
    <row r="533" spans="1:11" x14ac:dyDescent="0.25">
      <c r="A533" s="438"/>
      <c r="B533" s="419" t="s">
        <v>580</v>
      </c>
      <c r="C533" s="419" t="s">
        <v>359</v>
      </c>
      <c r="D533" s="418"/>
      <c r="E533" s="420" t="s">
        <v>67</v>
      </c>
      <c r="F533" s="421">
        <f>F534+F537</f>
        <v>2317000</v>
      </c>
      <c r="G533" s="421">
        <f>G534+G537</f>
        <v>2317000</v>
      </c>
      <c r="H533" s="421">
        <f>H534+H537</f>
        <v>0</v>
      </c>
      <c r="I533" s="421">
        <f>I534+I537</f>
        <v>2317000</v>
      </c>
      <c r="J533" s="421">
        <f>J534+J537</f>
        <v>0</v>
      </c>
      <c r="K533" s="418"/>
    </row>
    <row r="534" spans="1:11" x14ac:dyDescent="0.25">
      <c r="A534" s="438"/>
      <c r="B534" s="423" t="s">
        <v>580</v>
      </c>
      <c r="C534" s="423" t="s">
        <v>360</v>
      </c>
      <c r="D534" s="422"/>
      <c r="E534" s="424" t="s">
        <v>361</v>
      </c>
      <c r="F534" s="425">
        <f>SUM(F535:F536)</f>
        <v>817000</v>
      </c>
      <c r="G534" s="425">
        <f>SUM(G535:G536)</f>
        <v>817000</v>
      </c>
      <c r="H534" s="425">
        <f>SUM(H535:H536)</f>
        <v>0</v>
      </c>
      <c r="I534" s="425">
        <f>SUM(I535:I536)</f>
        <v>817000</v>
      </c>
      <c r="J534" s="425">
        <f>SUM(J535:J536)</f>
        <v>0</v>
      </c>
      <c r="K534" s="422"/>
    </row>
    <row r="535" spans="1:11" x14ac:dyDescent="0.25">
      <c r="A535" s="440"/>
      <c r="B535" s="427" t="s">
        <v>580</v>
      </c>
      <c r="C535" s="427" t="s">
        <v>366</v>
      </c>
      <c r="D535" s="426"/>
      <c r="E535" s="428" t="s">
        <v>367</v>
      </c>
      <c r="F535" s="429">
        <v>17000</v>
      </c>
      <c r="G535" s="429">
        <v>17000</v>
      </c>
      <c r="H535" s="429">
        <f>[2]Nov!I581</f>
        <v>0</v>
      </c>
      <c r="I535" s="429">
        <f t="shared" ref="I535:I536" si="228">G535+H535</f>
        <v>17000</v>
      </c>
      <c r="J535" s="429">
        <f t="shared" ref="J535:J536" si="229">F535-I535</f>
        <v>0</v>
      </c>
      <c r="K535" s="426"/>
    </row>
    <row r="536" spans="1:11" x14ac:dyDescent="0.25">
      <c r="A536" s="439"/>
      <c r="B536" s="427" t="s">
        <v>580</v>
      </c>
      <c r="C536" s="427" t="s">
        <v>368</v>
      </c>
      <c r="D536" s="426"/>
      <c r="E536" s="428" t="s">
        <v>369</v>
      </c>
      <c r="F536" s="429">
        <v>800000</v>
      </c>
      <c r="G536" s="429">
        <v>800000</v>
      </c>
      <c r="H536" s="429">
        <f>[2]Nov!I582</f>
        <v>0</v>
      </c>
      <c r="I536" s="429">
        <f t="shared" si="228"/>
        <v>800000</v>
      </c>
      <c r="J536" s="429">
        <f t="shared" si="229"/>
        <v>0</v>
      </c>
      <c r="K536" s="426"/>
    </row>
    <row r="537" spans="1:11" x14ac:dyDescent="0.25">
      <c r="A537" s="439"/>
      <c r="B537" s="423" t="s">
        <v>580</v>
      </c>
      <c r="C537" s="423" t="s">
        <v>370</v>
      </c>
      <c r="D537" s="422"/>
      <c r="E537" s="424" t="s">
        <v>81</v>
      </c>
      <c r="F537" s="425">
        <f>SUM(F538)</f>
        <v>1500000</v>
      </c>
      <c r="G537" s="425">
        <f>SUM(G538)</f>
        <v>1500000</v>
      </c>
      <c r="H537" s="425">
        <f>SUM(H538)</f>
        <v>0</v>
      </c>
      <c r="I537" s="425">
        <f>SUM(I538)</f>
        <v>1500000</v>
      </c>
      <c r="J537" s="425">
        <f>SUM(J538)</f>
        <v>0</v>
      </c>
      <c r="K537" s="422"/>
    </row>
    <row r="538" spans="1:11" x14ac:dyDescent="0.25">
      <c r="A538" s="440"/>
      <c r="B538" s="427" t="s">
        <v>580</v>
      </c>
      <c r="C538" s="427" t="s">
        <v>398</v>
      </c>
      <c r="D538" s="426"/>
      <c r="E538" s="428" t="s">
        <v>399</v>
      </c>
      <c r="F538" s="429">
        <v>1500000</v>
      </c>
      <c r="G538" s="429">
        <v>1500000</v>
      </c>
      <c r="H538" s="429">
        <f>[2]Nov!I584</f>
        <v>0</v>
      </c>
      <c r="I538" s="429">
        <f t="shared" ref="I538" si="230">G538+H538</f>
        <v>1500000</v>
      </c>
      <c r="J538" s="429">
        <f t="shared" ref="J538" si="231">F538-I538</f>
        <v>0</v>
      </c>
      <c r="K538" s="426"/>
    </row>
    <row r="539" spans="1:11" x14ac:dyDescent="0.25">
      <c r="A539" s="483"/>
      <c r="B539" s="427"/>
      <c r="C539" s="427"/>
      <c r="D539" s="426"/>
      <c r="E539" s="428"/>
      <c r="F539" s="429"/>
      <c r="G539" s="429"/>
      <c r="H539" s="429"/>
      <c r="I539" s="429"/>
      <c r="J539" s="429"/>
      <c r="K539" s="426"/>
    </row>
    <row r="540" spans="1:11" x14ac:dyDescent="0.25">
      <c r="A540" s="476"/>
      <c r="B540" s="419" t="s">
        <v>582</v>
      </c>
      <c r="C540" s="438"/>
      <c r="D540" s="418"/>
      <c r="E540" s="420" t="s">
        <v>583</v>
      </c>
      <c r="F540" s="421">
        <f t="shared" ref="F540:J541" si="232">F541</f>
        <v>2500000</v>
      </c>
      <c r="G540" s="421">
        <f t="shared" si="232"/>
        <v>0</v>
      </c>
      <c r="H540" s="421">
        <f t="shared" si="232"/>
        <v>1620000</v>
      </c>
      <c r="I540" s="421">
        <f t="shared" si="232"/>
        <v>1620000</v>
      </c>
      <c r="J540" s="421">
        <f t="shared" si="232"/>
        <v>880000</v>
      </c>
      <c r="K540" s="418"/>
    </row>
    <row r="541" spans="1:11" x14ac:dyDescent="0.25">
      <c r="A541" s="438"/>
      <c r="B541" s="419" t="s">
        <v>582</v>
      </c>
      <c r="C541" s="419" t="s">
        <v>359</v>
      </c>
      <c r="D541" s="418"/>
      <c r="E541" s="420" t="s">
        <v>67</v>
      </c>
      <c r="F541" s="421">
        <f t="shared" si="232"/>
        <v>2500000</v>
      </c>
      <c r="G541" s="421">
        <f t="shared" si="232"/>
        <v>0</v>
      </c>
      <c r="H541" s="421">
        <f t="shared" si="232"/>
        <v>1620000</v>
      </c>
      <c r="I541" s="421">
        <f t="shared" si="232"/>
        <v>1620000</v>
      </c>
      <c r="J541" s="421">
        <f t="shared" si="232"/>
        <v>880000</v>
      </c>
      <c r="K541" s="418"/>
    </row>
    <row r="542" spans="1:11" x14ac:dyDescent="0.25">
      <c r="A542" s="438"/>
      <c r="B542" s="423" t="s">
        <v>582</v>
      </c>
      <c r="C542" s="423" t="s">
        <v>360</v>
      </c>
      <c r="D542" s="422"/>
      <c r="E542" s="424" t="s">
        <v>361</v>
      </c>
      <c r="F542" s="425">
        <f>SUM(F543:F544)</f>
        <v>2500000</v>
      </c>
      <c r="G542" s="425">
        <f>SUM(G543:G544)</f>
        <v>0</v>
      </c>
      <c r="H542" s="425">
        <f>SUM(H543:H544)</f>
        <v>1620000</v>
      </c>
      <c r="I542" s="425">
        <f>SUM(I543:I544)</f>
        <v>1620000</v>
      </c>
      <c r="J542" s="425">
        <f>SUM(J543:J544)</f>
        <v>880000</v>
      </c>
      <c r="K542" s="422"/>
    </row>
    <row r="543" spans="1:11" x14ac:dyDescent="0.25">
      <c r="A543" s="440"/>
      <c r="B543" s="427" t="s">
        <v>582</v>
      </c>
      <c r="C543" s="427" t="s">
        <v>366</v>
      </c>
      <c r="D543" s="426"/>
      <c r="E543" s="428" t="s">
        <v>367</v>
      </c>
      <c r="F543" s="429">
        <v>625000</v>
      </c>
      <c r="G543" s="429">
        <v>0</v>
      </c>
      <c r="H543" s="429">
        <f>[2]Nov!I591</f>
        <v>0</v>
      </c>
      <c r="I543" s="429">
        <f t="shared" ref="I543:I544" si="233">G543+H543</f>
        <v>0</v>
      </c>
      <c r="J543" s="429">
        <f t="shared" ref="J543:J544" si="234">F543-I543</f>
        <v>625000</v>
      </c>
      <c r="K543" s="426"/>
    </row>
    <row r="544" spans="1:11" x14ac:dyDescent="0.25">
      <c r="A544" s="439"/>
      <c r="B544" s="427" t="s">
        <v>582</v>
      </c>
      <c r="C544" s="427" t="s">
        <v>368</v>
      </c>
      <c r="D544" s="426"/>
      <c r="E544" s="428" t="s">
        <v>369</v>
      </c>
      <c r="F544" s="429">
        <v>1875000</v>
      </c>
      <c r="G544" s="429">
        <v>0</v>
      </c>
      <c r="H544" s="429">
        <f>[2]Nov!I592</f>
        <v>1620000</v>
      </c>
      <c r="I544" s="429">
        <f t="shared" si="233"/>
        <v>1620000</v>
      </c>
      <c r="J544" s="429">
        <f t="shared" si="234"/>
        <v>255000</v>
      </c>
      <c r="K544" s="426"/>
    </row>
    <row r="545" spans="1:11" x14ac:dyDescent="0.25">
      <c r="A545" s="439"/>
      <c r="B545" s="427"/>
      <c r="C545" s="427"/>
      <c r="D545" s="426"/>
      <c r="E545" s="428"/>
      <c r="F545" s="429"/>
      <c r="G545" s="429"/>
      <c r="H545" s="429"/>
      <c r="I545" s="429"/>
      <c r="J545" s="429"/>
      <c r="K545" s="426"/>
    </row>
    <row r="546" spans="1:11" x14ac:dyDescent="0.25">
      <c r="A546" s="439"/>
      <c r="B546" s="419" t="s">
        <v>584</v>
      </c>
      <c r="C546" s="438"/>
      <c r="D546" s="418"/>
      <c r="E546" s="420" t="s">
        <v>585</v>
      </c>
      <c r="F546" s="421">
        <f>F547</f>
        <v>1300000</v>
      </c>
      <c r="G546" s="421">
        <f>G547</f>
        <v>0</v>
      </c>
      <c r="H546" s="421">
        <f>H547</f>
        <v>1300000</v>
      </c>
      <c r="I546" s="421">
        <f>I547</f>
        <v>1300000</v>
      </c>
      <c r="J546" s="421">
        <f>J547</f>
        <v>0</v>
      </c>
      <c r="K546" s="418"/>
    </row>
    <row r="547" spans="1:11" x14ac:dyDescent="0.25">
      <c r="A547" s="438"/>
      <c r="B547" s="419" t="s">
        <v>584</v>
      </c>
      <c r="C547" s="419" t="s">
        <v>359</v>
      </c>
      <c r="D547" s="418"/>
      <c r="E547" s="420" t="s">
        <v>67</v>
      </c>
      <c r="F547" s="421">
        <f>F548+F551</f>
        <v>1300000</v>
      </c>
      <c r="G547" s="421">
        <f>G548+G551</f>
        <v>0</v>
      </c>
      <c r="H547" s="421">
        <f>H548+H551</f>
        <v>1300000</v>
      </c>
      <c r="I547" s="421">
        <f>I548+I551</f>
        <v>1300000</v>
      </c>
      <c r="J547" s="421">
        <f>J548+J551</f>
        <v>0</v>
      </c>
      <c r="K547" s="418"/>
    </row>
    <row r="548" spans="1:11" x14ac:dyDescent="0.25">
      <c r="A548" s="438"/>
      <c r="B548" s="423" t="s">
        <v>584</v>
      </c>
      <c r="C548" s="423" t="s">
        <v>360</v>
      </c>
      <c r="D548" s="422"/>
      <c r="E548" s="424" t="s">
        <v>361</v>
      </c>
      <c r="F548" s="425">
        <f>SUM(F549:F550)</f>
        <v>850000</v>
      </c>
      <c r="G548" s="425">
        <f>SUM(G549:G550)</f>
        <v>0</v>
      </c>
      <c r="H548" s="425">
        <f>SUM(H549:H550)</f>
        <v>850000</v>
      </c>
      <c r="I548" s="425">
        <f>SUM(I549:I550)</f>
        <v>850000</v>
      </c>
      <c r="J548" s="425">
        <f>SUM(J549:J550)</f>
        <v>0</v>
      </c>
      <c r="K548" s="422"/>
    </row>
    <row r="549" spans="1:11" x14ac:dyDescent="0.25">
      <c r="A549" s="440"/>
      <c r="B549" s="427" t="s">
        <v>584</v>
      </c>
      <c r="C549" s="427" t="s">
        <v>366</v>
      </c>
      <c r="D549" s="426"/>
      <c r="E549" s="428" t="s">
        <v>367</v>
      </c>
      <c r="F549" s="429">
        <v>50000</v>
      </c>
      <c r="G549" s="429">
        <v>0</v>
      </c>
      <c r="H549" s="429">
        <f>[2]Nov!I597</f>
        <v>50000</v>
      </c>
      <c r="I549" s="429">
        <f t="shared" ref="I549:I550" si="235">G549+H549</f>
        <v>50000</v>
      </c>
      <c r="J549" s="429">
        <f t="shared" ref="J549:J550" si="236">F549-I549</f>
        <v>0</v>
      </c>
      <c r="K549" s="426"/>
    </row>
    <row r="550" spans="1:11" x14ac:dyDescent="0.25">
      <c r="A550" s="439"/>
      <c r="B550" s="427" t="s">
        <v>584</v>
      </c>
      <c r="C550" s="427" t="s">
        <v>368</v>
      </c>
      <c r="D550" s="426"/>
      <c r="E550" s="428" t="s">
        <v>369</v>
      </c>
      <c r="F550" s="429">
        <v>800000</v>
      </c>
      <c r="G550" s="429">
        <v>0</v>
      </c>
      <c r="H550" s="429">
        <f>[2]Nov!I598</f>
        <v>800000</v>
      </c>
      <c r="I550" s="429">
        <f t="shared" si="235"/>
        <v>800000</v>
      </c>
      <c r="J550" s="429">
        <f t="shared" si="236"/>
        <v>0</v>
      </c>
      <c r="K550" s="426"/>
    </row>
    <row r="551" spans="1:11" x14ac:dyDescent="0.25">
      <c r="A551" s="439"/>
      <c r="B551" s="423" t="s">
        <v>584</v>
      </c>
      <c r="C551" s="423" t="s">
        <v>370</v>
      </c>
      <c r="D551" s="422"/>
      <c r="E551" s="424" t="s">
        <v>81</v>
      </c>
      <c r="F551" s="425">
        <f>SUM(F552)</f>
        <v>450000</v>
      </c>
      <c r="G551" s="425">
        <f>SUM(G552)</f>
        <v>0</v>
      </c>
      <c r="H551" s="425">
        <f>SUM(H552)</f>
        <v>450000</v>
      </c>
      <c r="I551" s="425">
        <f>SUM(I552)</f>
        <v>450000</v>
      </c>
      <c r="J551" s="425">
        <f>SUM(J552)</f>
        <v>0</v>
      </c>
      <c r="K551" s="422"/>
    </row>
    <row r="552" spans="1:11" x14ac:dyDescent="0.25">
      <c r="A552" s="440"/>
      <c r="B552" s="427" t="s">
        <v>584</v>
      </c>
      <c r="C552" s="427" t="s">
        <v>476</v>
      </c>
      <c r="D552" s="426"/>
      <c r="E552" s="428" t="s">
        <v>477</v>
      </c>
      <c r="F552" s="429">
        <v>450000</v>
      </c>
      <c r="G552" s="429">
        <v>0</v>
      </c>
      <c r="H552" s="429">
        <f>[2]Nov!I600</f>
        <v>450000</v>
      </c>
      <c r="I552" s="429">
        <f t="shared" ref="I552" si="237">G552+H552</f>
        <v>450000</v>
      </c>
      <c r="J552" s="429">
        <f t="shared" ref="J552" si="238">F552-I552</f>
        <v>0</v>
      </c>
      <c r="K552" s="426"/>
    </row>
    <row r="553" spans="1:11" x14ac:dyDescent="0.25">
      <c r="A553" s="439"/>
      <c r="B553" s="427"/>
      <c r="C553" s="427"/>
      <c r="D553" s="426"/>
      <c r="E553" s="428"/>
      <c r="F553" s="429"/>
      <c r="G553" s="429"/>
      <c r="H553" s="429"/>
      <c r="I553" s="429"/>
      <c r="J553" s="429"/>
      <c r="K553" s="426"/>
    </row>
    <row r="554" spans="1:11" x14ac:dyDescent="0.25">
      <c r="A554" s="439"/>
      <c r="B554" s="419" t="s">
        <v>586</v>
      </c>
      <c r="C554" s="438"/>
      <c r="D554" s="418"/>
      <c r="E554" s="420" t="s">
        <v>587</v>
      </c>
      <c r="F554" s="421">
        <f t="shared" ref="F554:J555" si="239">F555</f>
        <v>1472500</v>
      </c>
      <c r="G554" s="421">
        <f t="shared" si="239"/>
        <v>295000</v>
      </c>
      <c r="H554" s="421">
        <f t="shared" si="239"/>
        <v>1148250</v>
      </c>
      <c r="I554" s="421">
        <f t="shared" si="239"/>
        <v>1443250</v>
      </c>
      <c r="J554" s="421">
        <f t="shared" si="239"/>
        <v>29250</v>
      </c>
      <c r="K554" s="418"/>
    </row>
    <row r="555" spans="1:11" x14ac:dyDescent="0.25">
      <c r="A555" s="438"/>
      <c r="B555" s="419" t="s">
        <v>586</v>
      </c>
      <c r="C555" s="419" t="s">
        <v>359</v>
      </c>
      <c r="D555" s="418"/>
      <c r="E555" s="420" t="s">
        <v>67</v>
      </c>
      <c r="F555" s="421">
        <f t="shared" si="239"/>
        <v>1472500</v>
      </c>
      <c r="G555" s="421">
        <f t="shared" si="239"/>
        <v>295000</v>
      </c>
      <c r="H555" s="421">
        <f t="shared" si="239"/>
        <v>1148250</v>
      </c>
      <c r="I555" s="421">
        <f t="shared" si="239"/>
        <v>1443250</v>
      </c>
      <c r="J555" s="421">
        <f t="shared" si="239"/>
        <v>29250</v>
      </c>
      <c r="K555" s="418"/>
    </row>
    <row r="556" spans="1:11" x14ac:dyDescent="0.25">
      <c r="A556" s="438"/>
      <c r="B556" s="423" t="s">
        <v>586</v>
      </c>
      <c r="C556" s="423" t="s">
        <v>360</v>
      </c>
      <c r="D556" s="422"/>
      <c r="E556" s="424" t="s">
        <v>361</v>
      </c>
      <c r="F556" s="425">
        <f>SUM(F557:F559)</f>
        <v>1472500</v>
      </c>
      <c r="G556" s="425">
        <f>SUM(G557:G559)</f>
        <v>295000</v>
      </c>
      <c r="H556" s="425">
        <f>SUM(H557:H559)</f>
        <v>1148250</v>
      </c>
      <c r="I556" s="425">
        <f>SUM(I557:I559)</f>
        <v>1443250</v>
      </c>
      <c r="J556" s="425">
        <f>SUM(J557:J559)</f>
        <v>29250</v>
      </c>
      <c r="K556" s="422"/>
    </row>
    <row r="557" spans="1:11" x14ac:dyDescent="0.25">
      <c r="A557" s="440"/>
      <c r="B557" s="427" t="s">
        <v>586</v>
      </c>
      <c r="C557" s="427" t="s">
        <v>362</v>
      </c>
      <c r="D557" s="426"/>
      <c r="E557" s="428" t="s">
        <v>363</v>
      </c>
      <c r="F557" s="429">
        <v>200000</v>
      </c>
      <c r="G557" s="429">
        <v>0</v>
      </c>
      <c r="H557" s="429">
        <f>[2]Nov!I605</f>
        <v>200000</v>
      </c>
      <c r="I557" s="429">
        <f t="shared" ref="I557:I559" si="240">G557+H557</f>
        <v>200000</v>
      </c>
      <c r="J557" s="429">
        <f t="shared" ref="J557:J559" si="241">F557-I557</f>
        <v>0</v>
      </c>
      <c r="K557" s="426"/>
    </row>
    <row r="558" spans="1:11" x14ac:dyDescent="0.25">
      <c r="A558" s="439"/>
      <c r="B558" s="427" t="s">
        <v>586</v>
      </c>
      <c r="C558" s="427" t="s">
        <v>366</v>
      </c>
      <c r="D558" s="426"/>
      <c r="E558" s="428" t="s">
        <v>367</v>
      </c>
      <c r="F558" s="429">
        <v>200000</v>
      </c>
      <c r="G558" s="429">
        <v>100000</v>
      </c>
      <c r="H558" s="429">
        <f>[2]Nov!I606</f>
        <v>100000</v>
      </c>
      <c r="I558" s="429">
        <f t="shared" si="240"/>
        <v>200000</v>
      </c>
      <c r="J558" s="429">
        <f t="shared" si="241"/>
        <v>0</v>
      </c>
      <c r="K558" s="426"/>
    </row>
    <row r="559" spans="1:11" x14ac:dyDescent="0.25">
      <c r="A559" s="439"/>
      <c r="B559" s="451" t="s">
        <v>586</v>
      </c>
      <c r="C559" s="451" t="s">
        <v>368</v>
      </c>
      <c r="D559" s="452"/>
      <c r="E559" s="453" t="s">
        <v>369</v>
      </c>
      <c r="F559" s="454">
        <v>1072500</v>
      </c>
      <c r="G559" s="454">
        <v>195000</v>
      </c>
      <c r="H559" s="429">
        <f>[2]Nov!I607</f>
        <v>848250</v>
      </c>
      <c r="I559" s="454">
        <f t="shared" si="240"/>
        <v>1043250</v>
      </c>
      <c r="J559" s="454">
        <f t="shared" si="241"/>
        <v>29250</v>
      </c>
      <c r="K559" s="452"/>
    </row>
    <row r="560" spans="1:11" x14ac:dyDescent="0.25">
      <c r="A560" s="450"/>
      <c r="B560" s="427"/>
      <c r="C560" s="427"/>
      <c r="D560" s="426"/>
      <c r="E560" s="428"/>
      <c r="F560" s="429"/>
      <c r="G560" s="429"/>
      <c r="H560" s="429"/>
      <c r="I560" s="429"/>
      <c r="J560" s="429"/>
      <c r="K560" s="426"/>
    </row>
    <row r="561" spans="1:11" x14ac:dyDescent="0.25">
      <c r="A561" s="439"/>
      <c r="B561" s="456" t="s">
        <v>588</v>
      </c>
      <c r="C561" s="455"/>
      <c r="D561" s="457"/>
      <c r="E561" s="458" t="s">
        <v>589</v>
      </c>
      <c r="F561" s="459">
        <f t="shared" ref="F561:J562" si="242">F562</f>
        <v>2180000</v>
      </c>
      <c r="G561" s="459">
        <f t="shared" si="242"/>
        <v>330000</v>
      </c>
      <c r="H561" s="459">
        <f t="shared" si="242"/>
        <v>1532000</v>
      </c>
      <c r="I561" s="459">
        <f t="shared" si="242"/>
        <v>1862000</v>
      </c>
      <c r="J561" s="459">
        <f t="shared" si="242"/>
        <v>318000</v>
      </c>
      <c r="K561" s="457"/>
    </row>
    <row r="562" spans="1:11" x14ac:dyDescent="0.25">
      <c r="A562" s="455"/>
      <c r="B562" s="419" t="s">
        <v>588</v>
      </c>
      <c r="C562" s="419" t="s">
        <v>359</v>
      </c>
      <c r="D562" s="418"/>
      <c r="E562" s="420" t="s">
        <v>67</v>
      </c>
      <c r="F562" s="421">
        <f t="shared" si="242"/>
        <v>2180000</v>
      </c>
      <c r="G562" s="421">
        <f t="shared" si="242"/>
        <v>330000</v>
      </c>
      <c r="H562" s="421">
        <f t="shared" si="242"/>
        <v>1532000</v>
      </c>
      <c r="I562" s="421">
        <f t="shared" si="242"/>
        <v>1862000</v>
      </c>
      <c r="J562" s="421">
        <f t="shared" si="242"/>
        <v>318000</v>
      </c>
      <c r="K562" s="418"/>
    </row>
    <row r="563" spans="1:11" x14ac:dyDescent="0.25">
      <c r="A563" s="438"/>
      <c r="B563" s="423" t="s">
        <v>588</v>
      </c>
      <c r="C563" s="423" t="s">
        <v>360</v>
      </c>
      <c r="D563" s="422"/>
      <c r="E563" s="424" t="s">
        <v>361</v>
      </c>
      <c r="F563" s="425">
        <f>SUM(F564:F566)</f>
        <v>2180000</v>
      </c>
      <c r="G563" s="425">
        <f>SUM(G564:G566)</f>
        <v>330000</v>
      </c>
      <c r="H563" s="425">
        <f>SUM(H564:H566)</f>
        <v>1532000</v>
      </c>
      <c r="I563" s="425">
        <f>SUM(I564:I566)</f>
        <v>1862000</v>
      </c>
      <c r="J563" s="425">
        <f>SUM(J564:J566)</f>
        <v>318000</v>
      </c>
      <c r="K563" s="422"/>
    </row>
    <row r="564" spans="1:11" x14ac:dyDescent="0.25">
      <c r="A564" s="440"/>
      <c r="B564" s="427" t="s">
        <v>588</v>
      </c>
      <c r="C564" s="427" t="s">
        <v>362</v>
      </c>
      <c r="D564" s="426"/>
      <c r="E564" s="428" t="s">
        <v>363</v>
      </c>
      <c r="F564" s="429">
        <v>100000</v>
      </c>
      <c r="G564" s="429">
        <v>0</v>
      </c>
      <c r="H564" s="429">
        <f>[2]Nov!I612</f>
        <v>100000</v>
      </c>
      <c r="I564" s="429">
        <f t="shared" ref="I564:I566" si="243">G564+H564</f>
        <v>100000</v>
      </c>
      <c r="J564" s="429">
        <f t="shared" ref="J564:J566" si="244">F564-I564</f>
        <v>0</v>
      </c>
      <c r="K564" s="426"/>
    </row>
    <row r="565" spans="1:11" x14ac:dyDescent="0.25">
      <c r="A565" s="439"/>
      <c r="B565" s="427" t="s">
        <v>588</v>
      </c>
      <c r="C565" s="427" t="s">
        <v>366</v>
      </c>
      <c r="D565" s="426"/>
      <c r="E565" s="428" t="s">
        <v>367</v>
      </c>
      <c r="F565" s="429">
        <v>100000</v>
      </c>
      <c r="G565" s="429">
        <v>0</v>
      </c>
      <c r="H565" s="429">
        <f>[2]Nov!I613</f>
        <v>100000</v>
      </c>
      <c r="I565" s="429">
        <f t="shared" si="243"/>
        <v>100000</v>
      </c>
      <c r="J565" s="429">
        <f t="shared" si="244"/>
        <v>0</v>
      </c>
      <c r="K565" s="426"/>
    </row>
    <row r="566" spans="1:11" x14ac:dyDescent="0.25">
      <c r="A566" s="439"/>
      <c r="B566" s="427" t="s">
        <v>588</v>
      </c>
      <c r="C566" s="427" t="s">
        <v>368</v>
      </c>
      <c r="D566" s="426"/>
      <c r="E566" s="428" t="s">
        <v>369</v>
      </c>
      <c r="F566" s="429">
        <v>1980000</v>
      </c>
      <c r="G566" s="429">
        <v>330000</v>
      </c>
      <c r="H566" s="429">
        <f>[2]Nov!I614</f>
        <v>1332000</v>
      </c>
      <c r="I566" s="429">
        <f t="shared" si="243"/>
        <v>1662000</v>
      </c>
      <c r="J566" s="429">
        <f t="shared" si="244"/>
        <v>318000</v>
      </c>
      <c r="K566" s="426"/>
    </row>
    <row r="567" spans="1:11" x14ac:dyDescent="0.25">
      <c r="A567" s="439"/>
      <c r="B567" s="427"/>
      <c r="C567" s="427"/>
      <c r="D567" s="426"/>
      <c r="E567" s="428"/>
      <c r="F567" s="429"/>
      <c r="G567" s="429"/>
      <c r="H567" s="429"/>
      <c r="I567" s="429"/>
      <c r="J567" s="429"/>
      <c r="K567" s="426"/>
    </row>
    <row r="568" spans="1:11" x14ac:dyDescent="0.25">
      <c r="A568" s="439"/>
      <c r="B568" s="419">
        <v>4</v>
      </c>
      <c r="C568" s="438"/>
      <c r="D568" s="420" t="s">
        <v>590</v>
      </c>
      <c r="E568" s="418"/>
      <c r="F568" s="421">
        <f>F569+F591+F601+F634+F644</f>
        <v>35902300</v>
      </c>
      <c r="G568" s="421">
        <f>G569+G591+G601+G634+G644</f>
        <v>18565000</v>
      </c>
      <c r="H568" s="421">
        <f>H569+H591+H601+H634+H644</f>
        <v>17202250</v>
      </c>
      <c r="I568" s="421">
        <f>I569+I591+I601+I634+I644</f>
        <v>35767250</v>
      </c>
      <c r="J568" s="421">
        <f>J569+J591+J601+J634+J644</f>
        <v>135050</v>
      </c>
      <c r="K568" s="418"/>
    </row>
    <row r="569" spans="1:11" x14ac:dyDescent="0.25">
      <c r="A569" s="438"/>
      <c r="B569" s="419" t="s">
        <v>591</v>
      </c>
      <c r="C569" s="438"/>
      <c r="D569" s="420" t="s">
        <v>115</v>
      </c>
      <c r="E569" s="418"/>
      <c r="F569" s="421">
        <f>F570+F580</f>
        <v>5177500</v>
      </c>
      <c r="G569" s="421">
        <f>G570+G580</f>
        <v>0</v>
      </c>
      <c r="H569" s="421">
        <f>H570+H580</f>
        <v>5042500</v>
      </c>
      <c r="I569" s="421">
        <f>I570+I580</f>
        <v>5042500</v>
      </c>
      <c r="J569" s="421">
        <f>J570+J580</f>
        <v>135000</v>
      </c>
      <c r="K569" s="418"/>
    </row>
    <row r="570" spans="1:11" x14ac:dyDescent="0.25">
      <c r="A570" s="438"/>
      <c r="B570" s="419" t="s">
        <v>592</v>
      </c>
      <c r="C570" s="438"/>
      <c r="D570" s="418"/>
      <c r="E570" s="420" t="s">
        <v>593</v>
      </c>
      <c r="F570" s="421">
        <f>F571</f>
        <v>0</v>
      </c>
      <c r="G570" s="421">
        <f>G571</f>
        <v>0</v>
      </c>
      <c r="H570" s="421">
        <f>H571</f>
        <v>0</v>
      </c>
      <c r="I570" s="421">
        <f>I571</f>
        <v>0</v>
      </c>
      <c r="J570" s="421">
        <f>J571</f>
        <v>0</v>
      </c>
      <c r="K570" s="418"/>
    </row>
    <row r="571" spans="1:11" x14ac:dyDescent="0.25">
      <c r="A571" s="438"/>
      <c r="B571" s="419" t="s">
        <v>592</v>
      </c>
      <c r="C571" s="419" t="s">
        <v>359</v>
      </c>
      <c r="D571" s="418"/>
      <c r="E571" s="420" t="s">
        <v>67</v>
      </c>
      <c r="F571" s="421">
        <f>F572+F575+F577</f>
        <v>0</v>
      </c>
      <c r="G571" s="421">
        <f>G572+G575+G577</f>
        <v>0</v>
      </c>
      <c r="H571" s="421">
        <f>H572+H575+H577</f>
        <v>0</v>
      </c>
      <c r="I571" s="421">
        <f>I572+I575+I577</f>
        <v>0</v>
      </c>
      <c r="J571" s="421">
        <f>J572+J575+J577</f>
        <v>0</v>
      </c>
      <c r="K571" s="418"/>
    </row>
    <row r="572" spans="1:11" x14ac:dyDescent="0.25">
      <c r="A572" s="438"/>
      <c r="B572" s="423" t="s">
        <v>592</v>
      </c>
      <c r="C572" s="423" t="s">
        <v>360</v>
      </c>
      <c r="D572" s="422"/>
      <c r="E572" s="424" t="s">
        <v>361</v>
      </c>
      <c r="F572" s="425">
        <f>SUM(F573:F574)</f>
        <v>0</v>
      </c>
      <c r="G572" s="425">
        <f>SUM(G573:G574)</f>
        <v>0</v>
      </c>
      <c r="H572" s="425">
        <f>SUM(H573:H574)</f>
        <v>0</v>
      </c>
      <c r="I572" s="425">
        <f>SUM(I573:I574)</f>
        <v>0</v>
      </c>
      <c r="J572" s="425">
        <f>SUM(J573:J574)</f>
        <v>0</v>
      </c>
      <c r="K572" s="422"/>
    </row>
    <row r="573" spans="1:11" x14ac:dyDescent="0.25">
      <c r="A573" s="440"/>
      <c r="B573" s="427" t="s">
        <v>592</v>
      </c>
      <c r="C573" s="427" t="s">
        <v>366</v>
      </c>
      <c r="D573" s="426"/>
      <c r="E573" s="428" t="s">
        <v>367</v>
      </c>
      <c r="F573" s="429">
        <v>0</v>
      </c>
      <c r="G573" s="429">
        <v>0</v>
      </c>
      <c r="H573" s="429">
        <f>[2]Nov!I621</f>
        <v>0</v>
      </c>
      <c r="I573" s="429">
        <f t="shared" ref="I573:I574" si="245">G573+H573</f>
        <v>0</v>
      </c>
      <c r="J573" s="429">
        <f t="shared" ref="J573:J574" si="246">F573-I573</f>
        <v>0</v>
      </c>
      <c r="K573" s="426"/>
    </row>
    <row r="574" spans="1:11" x14ac:dyDescent="0.25">
      <c r="A574" s="439"/>
      <c r="B574" s="427" t="s">
        <v>592</v>
      </c>
      <c r="C574" s="427" t="s">
        <v>368</v>
      </c>
      <c r="D574" s="426"/>
      <c r="E574" s="428" t="s">
        <v>369</v>
      </c>
      <c r="F574" s="429">
        <v>0</v>
      </c>
      <c r="G574" s="429">
        <v>0</v>
      </c>
      <c r="H574" s="429">
        <f>[2]Nov!I622</f>
        <v>0</v>
      </c>
      <c r="I574" s="429">
        <f t="shared" si="245"/>
        <v>0</v>
      </c>
      <c r="J574" s="429">
        <f t="shared" si="246"/>
        <v>0</v>
      </c>
      <c r="K574" s="426"/>
    </row>
    <row r="575" spans="1:11" x14ac:dyDescent="0.25">
      <c r="A575" s="439"/>
      <c r="B575" s="423" t="s">
        <v>592</v>
      </c>
      <c r="C575" s="423" t="s">
        <v>370</v>
      </c>
      <c r="D575" s="422"/>
      <c r="E575" s="424" t="s">
        <v>81</v>
      </c>
      <c r="F575" s="425">
        <f>SUM(F576)</f>
        <v>0</v>
      </c>
      <c r="G575" s="425">
        <f>SUM(G576)</f>
        <v>0</v>
      </c>
      <c r="H575" s="425">
        <f>SUM(H576)</f>
        <v>0</v>
      </c>
      <c r="I575" s="425">
        <f>SUM(I576)</f>
        <v>0</v>
      </c>
      <c r="J575" s="425">
        <f>SUM(J576)</f>
        <v>0</v>
      </c>
      <c r="K575" s="422"/>
    </row>
    <row r="576" spans="1:11" x14ac:dyDescent="0.25">
      <c r="A576" s="440"/>
      <c r="B576" s="427" t="s">
        <v>592</v>
      </c>
      <c r="C576" s="427" t="s">
        <v>436</v>
      </c>
      <c r="D576" s="426"/>
      <c r="E576" s="428" t="s">
        <v>437</v>
      </c>
      <c r="F576" s="429">
        <v>0</v>
      </c>
      <c r="G576" s="429">
        <v>0</v>
      </c>
      <c r="H576" s="429">
        <f>[2]Nov!I624</f>
        <v>0</v>
      </c>
      <c r="I576" s="429">
        <f t="shared" ref="I576" si="247">G576+H576</f>
        <v>0</v>
      </c>
      <c r="J576" s="429">
        <f t="shared" ref="J576" si="248">F576-I576</f>
        <v>0</v>
      </c>
      <c r="K576" s="426"/>
    </row>
    <row r="577" spans="1:11" x14ac:dyDescent="0.25">
      <c r="A577" s="439"/>
      <c r="B577" s="423" t="s">
        <v>592</v>
      </c>
      <c r="C577" s="423" t="s">
        <v>460</v>
      </c>
      <c r="D577" s="422"/>
      <c r="E577" s="424" t="s">
        <v>461</v>
      </c>
      <c r="F577" s="425">
        <f>SUM(F578)</f>
        <v>0</v>
      </c>
      <c r="G577" s="425">
        <f>SUM(G578)</f>
        <v>0</v>
      </c>
      <c r="H577" s="425">
        <f>SUM(H578)</f>
        <v>0</v>
      </c>
      <c r="I577" s="425">
        <f>SUM(I578)</f>
        <v>0</v>
      </c>
      <c r="J577" s="425">
        <f>SUM(J578)</f>
        <v>0</v>
      </c>
      <c r="K577" s="422"/>
    </row>
    <row r="578" spans="1:11" x14ac:dyDescent="0.25">
      <c r="A578" s="440"/>
      <c r="B578" s="427" t="s">
        <v>592</v>
      </c>
      <c r="C578" s="427" t="s">
        <v>594</v>
      </c>
      <c r="D578" s="426"/>
      <c r="E578" s="428" t="s">
        <v>595</v>
      </c>
      <c r="F578" s="429">
        <v>0</v>
      </c>
      <c r="G578" s="429">
        <v>0</v>
      </c>
      <c r="H578" s="429">
        <f>[2]Nov!I626</f>
        <v>0</v>
      </c>
      <c r="I578" s="429">
        <f t="shared" ref="I578" si="249">G578+H578</f>
        <v>0</v>
      </c>
      <c r="J578" s="429">
        <f t="shared" ref="J578" si="250">F578-I578</f>
        <v>0</v>
      </c>
      <c r="K578" s="426"/>
    </row>
    <row r="579" spans="1:11" x14ac:dyDescent="0.25">
      <c r="A579" s="483"/>
      <c r="B579" s="427"/>
      <c r="C579" s="427"/>
      <c r="D579" s="426"/>
      <c r="E579" s="428"/>
      <c r="F579" s="429"/>
      <c r="G579" s="429"/>
      <c r="H579" s="429"/>
      <c r="I579" s="429"/>
      <c r="J579" s="429"/>
      <c r="K579" s="426"/>
    </row>
    <row r="580" spans="1:11" x14ac:dyDescent="0.25">
      <c r="A580" s="476"/>
      <c r="B580" s="419" t="s">
        <v>596</v>
      </c>
      <c r="C580" s="438"/>
      <c r="D580" s="418"/>
      <c r="E580" s="420" t="s">
        <v>1029</v>
      </c>
      <c r="F580" s="421">
        <f>F581</f>
        <v>5177500</v>
      </c>
      <c r="G580" s="421">
        <f>G581</f>
        <v>0</v>
      </c>
      <c r="H580" s="421">
        <f>H581</f>
        <v>5042500</v>
      </c>
      <c r="I580" s="421">
        <f>I581</f>
        <v>5042500</v>
      </c>
      <c r="J580" s="421">
        <f>J581</f>
        <v>135000</v>
      </c>
      <c r="K580" s="418"/>
    </row>
    <row r="581" spans="1:11" x14ac:dyDescent="0.25">
      <c r="A581" s="438"/>
      <c r="B581" s="419" t="s">
        <v>596</v>
      </c>
      <c r="C581" s="419" t="s">
        <v>359</v>
      </c>
      <c r="D581" s="418"/>
      <c r="E581" s="420" t="s">
        <v>67</v>
      </c>
      <c r="F581" s="421">
        <f>F582+F587</f>
        <v>5177500</v>
      </c>
      <c r="G581" s="421">
        <f>G582+G587</f>
        <v>0</v>
      </c>
      <c r="H581" s="421">
        <f>H582+H587</f>
        <v>5042500</v>
      </c>
      <c r="I581" s="421">
        <f>I582+I587</f>
        <v>5042500</v>
      </c>
      <c r="J581" s="421">
        <f>J582+J587</f>
        <v>135000</v>
      </c>
      <c r="K581" s="418"/>
    </row>
    <row r="582" spans="1:11" x14ac:dyDescent="0.25">
      <c r="A582" s="438"/>
      <c r="B582" s="423" t="s">
        <v>596</v>
      </c>
      <c r="C582" s="423" t="s">
        <v>360</v>
      </c>
      <c r="D582" s="422"/>
      <c r="E582" s="424" t="s">
        <v>361</v>
      </c>
      <c r="F582" s="425">
        <f>SUM(F583:F586)</f>
        <v>4337500</v>
      </c>
      <c r="G582" s="425">
        <f>SUM(G583:G586)</f>
        <v>0</v>
      </c>
      <c r="H582" s="425">
        <f>SUM(H583:H586)</f>
        <v>4202500</v>
      </c>
      <c r="I582" s="425">
        <f>SUM(I583:I586)</f>
        <v>4202500</v>
      </c>
      <c r="J582" s="425">
        <f>SUM(J583:J586)</f>
        <v>135000</v>
      </c>
      <c r="K582" s="422"/>
    </row>
    <row r="583" spans="1:11" x14ac:dyDescent="0.25">
      <c r="A583" s="440"/>
      <c r="B583" s="427" t="s">
        <v>596</v>
      </c>
      <c r="C583" s="427" t="s">
        <v>366</v>
      </c>
      <c r="D583" s="426"/>
      <c r="E583" s="428" t="s">
        <v>367</v>
      </c>
      <c r="F583" s="429">
        <v>240000</v>
      </c>
      <c r="G583" s="429">
        <v>0</v>
      </c>
      <c r="H583" s="429">
        <f>[2]Nov!I633</f>
        <v>240000</v>
      </c>
      <c r="I583" s="429">
        <f t="shared" ref="I583:I586" si="251">G583+H583</f>
        <v>240000</v>
      </c>
      <c r="J583" s="429">
        <f t="shared" ref="J583:J586" si="252">F583-I583</f>
        <v>0</v>
      </c>
      <c r="K583" s="426"/>
    </row>
    <row r="584" spans="1:11" x14ac:dyDescent="0.25">
      <c r="A584" s="439"/>
      <c r="B584" s="427" t="s">
        <v>596</v>
      </c>
      <c r="C584" s="427" t="s">
        <v>368</v>
      </c>
      <c r="D584" s="426"/>
      <c r="E584" s="428" t="s">
        <v>369</v>
      </c>
      <c r="F584" s="429">
        <v>2762500</v>
      </c>
      <c r="G584" s="429">
        <v>0</v>
      </c>
      <c r="H584" s="429">
        <f>[2]Nov!I634</f>
        <v>2762500</v>
      </c>
      <c r="I584" s="429">
        <f t="shared" si="251"/>
        <v>2762500</v>
      </c>
      <c r="J584" s="429">
        <f t="shared" si="252"/>
        <v>0</v>
      </c>
      <c r="K584" s="426"/>
    </row>
    <row r="585" spans="1:11" x14ac:dyDescent="0.25">
      <c r="A585" s="439"/>
      <c r="B585" s="427" t="s">
        <v>596</v>
      </c>
      <c r="C585" s="427" t="s">
        <v>597</v>
      </c>
      <c r="D585" s="426"/>
      <c r="E585" s="428" t="s">
        <v>598</v>
      </c>
      <c r="F585" s="429">
        <v>785000</v>
      </c>
      <c r="G585" s="429">
        <v>0</v>
      </c>
      <c r="H585" s="429">
        <f>[2]Nov!I635</f>
        <v>650000</v>
      </c>
      <c r="I585" s="429">
        <f t="shared" si="251"/>
        <v>650000</v>
      </c>
      <c r="J585" s="429">
        <f t="shared" si="252"/>
        <v>135000</v>
      </c>
      <c r="K585" s="426"/>
    </row>
    <row r="586" spans="1:11" x14ac:dyDescent="0.25">
      <c r="A586" s="439"/>
      <c r="B586" s="427" t="s">
        <v>596</v>
      </c>
      <c r="C586" s="427" t="s">
        <v>487</v>
      </c>
      <c r="D586" s="426"/>
      <c r="E586" s="428" t="s">
        <v>488</v>
      </c>
      <c r="F586" s="429">
        <v>550000</v>
      </c>
      <c r="G586" s="429">
        <v>0</v>
      </c>
      <c r="H586" s="429">
        <f>[2]Nov!I636</f>
        <v>550000</v>
      </c>
      <c r="I586" s="429">
        <f t="shared" si="251"/>
        <v>550000</v>
      </c>
      <c r="J586" s="429">
        <f t="shared" si="252"/>
        <v>0</v>
      </c>
      <c r="K586" s="426"/>
    </row>
    <row r="587" spans="1:11" x14ac:dyDescent="0.25">
      <c r="A587" s="439"/>
      <c r="B587" s="423" t="s">
        <v>596</v>
      </c>
      <c r="C587" s="423" t="s">
        <v>370</v>
      </c>
      <c r="D587" s="422"/>
      <c r="E587" s="424" t="s">
        <v>81</v>
      </c>
      <c r="F587" s="425">
        <f>SUM(F588:F589)</f>
        <v>840000</v>
      </c>
      <c r="G587" s="425">
        <f>SUM(G588:G589)</f>
        <v>0</v>
      </c>
      <c r="H587" s="425">
        <f>SUM(H588:H589)</f>
        <v>840000</v>
      </c>
      <c r="I587" s="425">
        <f>SUM(I588:I589)</f>
        <v>840000</v>
      </c>
      <c r="J587" s="425">
        <f>SUM(J588:J589)</f>
        <v>0</v>
      </c>
      <c r="K587" s="422"/>
    </row>
    <row r="588" spans="1:11" x14ac:dyDescent="0.25">
      <c r="A588" s="440"/>
      <c r="B588" s="427" t="s">
        <v>596</v>
      </c>
      <c r="C588" s="427" t="s">
        <v>476</v>
      </c>
      <c r="D588" s="426"/>
      <c r="E588" s="428" t="s">
        <v>477</v>
      </c>
      <c r="F588" s="429">
        <v>450000</v>
      </c>
      <c r="G588" s="429">
        <v>0</v>
      </c>
      <c r="H588" s="429">
        <f>[2]Nov!I638</f>
        <v>450000</v>
      </c>
      <c r="I588" s="429">
        <f t="shared" ref="I588:I589" si="253">G588+H588</f>
        <v>450000</v>
      </c>
      <c r="J588" s="429">
        <f t="shared" ref="J588:J589" si="254">F588-I588</f>
        <v>0</v>
      </c>
      <c r="K588" s="426"/>
    </row>
    <row r="589" spans="1:11" x14ac:dyDescent="0.25">
      <c r="A589" s="439"/>
      <c r="B589" s="427" t="s">
        <v>596</v>
      </c>
      <c r="C589" s="427" t="s">
        <v>478</v>
      </c>
      <c r="D589" s="426"/>
      <c r="E589" s="428" t="s">
        <v>479</v>
      </c>
      <c r="F589" s="429">
        <v>390000</v>
      </c>
      <c r="G589" s="429">
        <v>0</v>
      </c>
      <c r="H589" s="429">
        <f>[2]Nov!I639</f>
        <v>390000</v>
      </c>
      <c r="I589" s="429">
        <f t="shared" si="253"/>
        <v>390000</v>
      </c>
      <c r="J589" s="429">
        <f t="shared" si="254"/>
        <v>0</v>
      </c>
      <c r="K589" s="426"/>
    </row>
    <row r="590" spans="1:11" x14ac:dyDescent="0.25">
      <c r="A590" s="439"/>
      <c r="B590" s="427"/>
      <c r="C590" s="427"/>
      <c r="D590" s="426"/>
      <c r="E590" s="428"/>
      <c r="F590" s="429"/>
      <c r="G590" s="429"/>
      <c r="H590" s="429"/>
      <c r="I590" s="429"/>
      <c r="J590" s="429"/>
      <c r="K590" s="426"/>
    </row>
    <row r="591" spans="1:11" x14ac:dyDescent="0.25">
      <c r="A591" s="439"/>
      <c r="B591" s="419" t="s">
        <v>599</v>
      </c>
      <c r="C591" s="438"/>
      <c r="D591" s="420" t="s">
        <v>116</v>
      </c>
      <c r="E591" s="418"/>
      <c r="F591" s="421">
        <f t="shared" ref="F591:J592" si="255">F592</f>
        <v>900000</v>
      </c>
      <c r="G591" s="421">
        <f t="shared" si="255"/>
        <v>0</v>
      </c>
      <c r="H591" s="421">
        <f t="shared" si="255"/>
        <v>900000</v>
      </c>
      <c r="I591" s="421">
        <f t="shared" si="255"/>
        <v>900000</v>
      </c>
      <c r="J591" s="421">
        <f t="shared" si="255"/>
        <v>0</v>
      </c>
      <c r="K591" s="418"/>
    </row>
    <row r="592" spans="1:11" x14ac:dyDescent="0.25">
      <c r="A592" s="438"/>
      <c r="B592" s="419" t="s">
        <v>600</v>
      </c>
      <c r="C592" s="438"/>
      <c r="D592" s="418"/>
      <c r="E592" s="420" t="s">
        <v>601</v>
      </c>
      <c r="F592" s="421">
        <f t="shared" si="255"/>
        <v>900000</v>
      </c>
      <c r="G592" s="421">
        <f t="shared" si="255"/>
        <v>0</v>
      </c>
      <c r="H592" s="421">
        <f t="shared" si="255"/>
        <v>900000</v>
      </c>
      <c r="I592" s="421">
        <f t="shared" si="255"/>
        <v>900000</v>
      </c>
      <c r="J592" s="421">
        <f t="shared" si="255"/>
        <v>0</v>
      </c>
      <c r="K592" s="418"/>
    </row>
    <row r="593" spans="1:11" x14ac:dyDescent="0.25">
      <c r="A593" s="438"/>
      <c r="B593" s="419" t="s">
        <v>600</v>
      </c>
      <c r="C593" s="419" t="s">
        <v>359</v>
      </c>
      <c r="D593" s="418"/>
      <c r="E593" s="420" t="s">
        <v>67</v>
      </c>
      <c r="F593" s="421">
        <f>F594+F597</f>
        <v>900000</v>
      </c>
      <c r="G593" s="421">
        <f>G594+G597</f>
        <v>0</v>
      </c>
      <c r="H593" s="421">
        <f>H594+H597</f>
        <v>900000</v>
      </c>
      <c r="I593" s="421">
        <f>I594+I597</f>
        <v>900000</v>
      </c>
      <c r="J593" s="421">
        <f>J594+J597</f>
        <v>0</v>
      </c>
      <c r="K593" s="418"/>
    </row>
    <row r="594" spans="1:11" x14ac:dyDescent="0.25">
      <c r="A594" s="438"/>
      <c r="B594" s="423" t="s">
        <v>600</v>
      </c>
      <c r="C594" s="423" t="s">
        <v>360</v>
      </c>
      <c r="D594" s="422"/>
      <c r="E594" s="424" t="s">
        <v>361</v>
      </c>
      <c r="F594" s="425">
        <f>SUM(F595:F596)</f>
        <v>315000</v>
      </c>
      <c r="G594" s="425">
        <f>SUM(G595:G596)</f>
        <v>0</v>
      </c>
      <c r="H594" s="425">
        <f>SUM(H595:H596)</f>
        <v>315000</v>
      </c>
      <c r="I594" s="425">
        <f>SUM(I595:I596)</f>
        <v>315000</v>
      </c>
      <c r="J594" s="425">
        <f>SUM(J595:J596)</f>
        <v>0</v>
      </c>
      <c r="K594" s="422"/>
    </row>
    <row r="595" spans="1:11" x14ac:dyDescent="0.25">
      <c r="A595" s="440"/>
      <c r="B595" s="427" t="s">
        <v>600</v>
      </c>
      <c r="C595" s="427" t="s">
        <v>366</v>
      </c>
      <c r="D595" s="426"/>
      <c r="E595" s="428" t="s">
        <v>367</v>
      </c>
      <c r="F595" s="429">
        <v>75000</v>
      </c>
      <c r="G595" s="429">
        <v>0</v>
      </c>
      <c r="H595" s="429">
        <f>[2]Nov!I645</f>
        <v>75000</v>
      </c>
      <c r="I595" s="429">
        <f t="shared" ref="I595:I596" si="256">G595+H595</f>
        <v>75000</v>
      </c>
      <c r="J595" s="429">
        <f t="shared" ref="J595:J596" si="257">F595-I595</f>
        <v>0</v>
      </c>
      <c r="K595" s="426"/>
    </row>
    <row r="596" spans="1:11" x14ac:dyDescent="0.25">
      <c r="A596" s="439"/>
      <c r="B596" s="427" t="s">
        <v>600</v>
      </c>
      <c r="C596" s="427" t="s">
        <v>368</v>
      </c>
      <c r="D596" s="426"/>
      <c r="E596" s="428" t="s">
        <v>369</v>
      </c>
      <c r="F596" s="429">
        <v>240000</v>
      </c>
      <c r="G596" s="429">
        <v>0</v>
      </c>
      <c r="H596" s="429">
        <f>[2]Nov!I646</f>
        <v>240000</v>
      </c>
      <c r="I596" s="429">
        <f t="shared" si="256"/>
        <v>240000</v>
      </c>
      <c r="J596" s="429">
        <f t="shared" si="257"/>
        <v>0</v>
      </c>
      <c r="K596" s="426"/>
    </row>
    <row r="597" spans="1:11" x14ac:dyDescent="0.25">
      <c r="A597" s="439"/>
      <c r="B597" s="423" t="s">
        <v>600</v>
      </c>
      <c r="C597" s="423" t="s">
        <v>370</v>
      </c>
      <c r="D597" s="422"/>
      <c r="E597" s="424" t="s">
        <v>81</v>
      </c>
      <c r="F597" s="425">
        <f>SUM(F598:F599)</f>
        <v>585000</v>
      </c>
      <c r="G597" s="425">
        <f>SUM(G598:G599)</f>
        <v>0</v>
      </c>
      <c r="H597" s="425">
        <f>SUM(H598:H599)</f>
        <v>585000</v>
      </c>
      <c r="I597" s="425">
        <f>SUM(I598:I599)</f>
        <v>585000</v>
      </c>
      <c r="J597" s="425">
        <f>SUM(J598:J599)</f>
        <v>0</v>
      </c>
      <c r="K597" s="422"/>
    </row>
    <row r="598" spans="1:11" x14ac:dyDescent="0.25">
      <c r="A598" s="440"/>
      <c r="B598" s="427" t="s">
        <v>600</v>
      </c>
      <c r="C598" s="427" t="s">
        <v>476</v>
      </c>
      <c r="D598" s="426"/>
      <c r="E598" s="428" t="s">
        <v>477</v>
      </c>
      <c r="F598" s="429">
        <v>450000</v>
      </c>
      <c r="G598" s="429">
        <v>0</v>
      </c>
      <c r="H598" s="429">
        <f>[2]Nov!I648</f>
        <v>450000</v>
      </c>
      <c r="I598" s="429">
        <f t="shared" ref="I598:I599" si="258">G598+H598</f>
        <v>450000</v>
      </c>
      <c r="J598" s="429">
        <f t="shared" ref="J598:J599" si="259">F598-I598</f>
        <v>0</v>
      </c>
      <c r="K598" s="426"/>
    </row>
    <row r="599" spans="1:11" x14ac:dyDescent="0.25">
      <c r="A599" s="439"/>
      <c r="B599" s="451" t="s">
        <v>600</v>
      </c>
      <c r="C599" s="451" t="s">
        <v>478</v>
      </c>
      <c r="D599" s="452"/>
      <c r="E599" s="453" t="s">
        <v>479</v>
      </c>
      <c r="F599" s="454">
        <v>135000</v>
      </c>
      <c r="G599" s="454">
        <v>0</v>
      </c>
      <c r="H599" s="429">
        <f>[2]Nov!I649</f>
        <v>135000</v>
      </c>
      <c r="I599" s="454">
        <f t="shared" si="258"/>
        <v>135000</v>
      </c>
      <c r="J599" s="454">
        <f t="shared" si="259"/>
        <v>0</v>
      </c>
      <c r="K599" s="452"/>
    </row>
    <row r="600" spans="1:11" x14ac:dyDescent="0.25">
      <c r="A600" s="450"/>
      <c r="B600" s="427"/>
      <c r="C600" s="427"/>
      <c r="D600" s="426"/>
      <c r="E600" s="428"/>
      <c r="F600" s="429"/>
      <c r="G600" s="429"/>
      <c r="H600" s="429"/>
      <c r="I600" s="429"/>
      <c r="J600" s="429"/>
      <c r="K600" s="426"/>
    </row>
    <row r="601" spans="1:11" x14ac:dyDescent="0.25">
      <c r="A601" s="439"/>
      <c r="B601" s="456" t="s">
        <v>602</v>
      </c>
      <c r="C601" s="455"/>
      <c r="D601" s="458" t="s">
        <v>117</v>
      </c>
      <c r="E601" s="457"/>
      <c r="F601" s="459">
        <f>F602+F614+F625</f>
        <v>24400000</v>
      </c>
      <c r="G601" s="459">
        <f>G602+G614+G625</f>
        <v>18565000</v>
      </c>
      <c r="H601" s="459">
        <f>H602+H614+H625</f>
        <v>5835000</v>
      </c>
      <c r="I601" s="459">
        <f>I602+I614+I625</f>
        <v>24400000</v>
      </c>
      <c r="J601" s="459">
        <f>J602+J614+J625</f>
        <v>0</v>
      </c>
      <c r="K601" s="457"/>
    </row>
    <row r="602" spans="1:11" x14ac:dyDescent="0.25">
      <c r="A602" s="455"/>
      <c r="B602" s="419" t="s">
        <v>603</v>
      </c>
      <c r="C602" s="438"/>
      <c r="D602" s="418"/>
      <c r="E602" s="420" t="s">
        <v>604</v>
      </c>
      <c r="F602" s="421">
        <f>F603</f>
        <v>5835000</v>
      </c>
      <c r="G602" s="421">
        <f>G603</f>
        <v>0</v>
      </c>
      <c r="H602" s="421">
        <f>H603</f>
        <v>5835000</v>
      </c>
      <c r="I602" s="421">
        <f>I603</f>
        <v>5835000</v>
      </c>
      <c r="J602" s="421">
        <f>J603</f>
        <v>0</v>
      </c>
      <c r="K602" s="418"/>
    </row>
    <row r="603" spans="1:11" x14ac:dyDescent="0.25">
      <c r="A603" s="438"/>
      <c r="B603" s="419" t="s">
        <v>603</v>
      </c>
      <c r="C603" s="419" t="s">
        <v>359</v>
      </c>
      <c r="D603" s="418"/>
      <c r="E603" s="420" t="s">
        <v>67</v>
      </c>
      <c r="F603" s="421">
        <f>F604+F607+F610</f>
        <v>5835000</v>
      </c>
      <c r="G603" s="421">
        <f>G604+G607+G610</f>
        <v>0</v>
      </c>
      <c r="H603" s="421">
        <f>H604+H607+H610</f>
        <v>5835000</v>
      </c>
      <c r="I603" s="421">
        <f>I604+I607+I610</f>
        <v>5835000</v>
      </c>
      <c r="J603" s="421">
        <f>J604+J607+J610</f>
        <v>0</v>
      </c>
      <c r="K603" s="418"/>
    </row>
    <row r="604" spans="1:11" x14ac:dyDescent="0.25">
      <c r="A604" s="438"/>
      <c r="B604" s="423" t="s">
        <v>603</v>
      </c>
      <c r="C604" s="423" t="s">
        <v>360</v>
      </c>
      <c r="D604" s="422"/>
      <c r="E604" s="424" t="s">
        <v>361</v>
      </c>
      <c r="F604" s="425">
        <f>SUM(F605:F606)</f>
        <v>5835000</v>
      </c>
      <c r="G604" s="425">
        <f>SUM(G605:G606)</f>
        <v>0</v>
      </c>
      <c r="H604" s="425">
        <f>SUM(H605:H606)</f>
        <v>5835000</v>
      </c>
      <c r="I604" s="425">
        <f>SUM(I605:I606)</f>
        <v>5835000</v>
      </c>
      <c r="J604" s="425">
        <f>SUM(J605:J606)</f>
        <v>0</v>
      </c>
      <c r="K604" s="422"/>
    </row>
    <row r="605" spans="1:11" x14ac:dyDescent="0.25">
      <c r="A605" s="440"/>
      <c r="B605" s="427" t="s">
        <v>603</v>
      </c>
      <c r="C605" s="427" t="s">
        <v>366</v>
      </c>
      <c r="D605" s="426"/>
      <c r="E605" s="428" t="s">
        <v>367</v>
      </c>
      <c r="F605" s="429">
        <v>75000</v>
      </c>
      <c r="G605" s="429">
        <v>0</v>
      </c>
      <c r="H605" s="429">
        <f>[2]Nov!I655</f>
        <v>75000</v>
      </c>
      <c r="I605" s="429">
        <f t="shared" ref="I605:I606" si="260">G605+H605</f>
        <v>75000</v>
      </c>
      <c r="J605" s="429">
        <f t="shared" ref="J605:J606" si="261">F605-I605</f>
        <v>0</v>
      </c>
      <c r="K605" s="426"/>
    </row>
    <row r="606" spans="1:11" x14ac:dyDescent="0.25">
      <c r="A606" s="439"/>
      <c r="B606" s="427" t="s">
        <v>603</v>
      </c>
      <c r="C606" s="427" t="s">
        <v>368</v>
      </c>
      <c r="D606" s="426"/>
      <c r="E606" s="428" t="s">
        <v>369</v>
      </c>
      <c r="F606" s="429">
        <v>5760000</v>
      </c>
      <c r="G606" s="429">
        <v>0</v>
      </c>
      <c r="H606" s="429">
        <f>[2]Nov!I656</f>
        <v>5760000</v>
      </c>
      <c r="I606" s="429">
        <f t="shared" si="260"/>
        <v>5760000</v>
      </c>
      <c r="J606" s="429">
        <f t="shared" si="261"/>
        <v>0</v>
      </c>
      <c r="K606" s="426"/>
    </row>
    <row r="607" spans="1:11" x14ac:dyDescent="0.25">
      <c r="A607" s="439"/>
      <c r="B607" s="423" t="s">
        <v>603</v>
      </c>
      <c r="C607" s="423" t="s">
        <v>370</v>
      </c>
      <c r="D607" s="422"/>
      <c r="E607" s="424" t="s">
        <v>81</v>
      </c>
      <c r="F607" s="425">
        <f>SUM(F608:F609)</f>
        <v>0</v>
      </c>
      <c r="G607" s="425">
        <f>SUM(G608:G609)</f>
        <v>0</v>
      </c>
      <c r="H607" s="425">
        <f>SUM(H608:H609)</f>
        <v>0</v>
      </c>
      <c r="I607" s="425">
        <f>SUM(I608:I609)</f>
        <v>0</v>
      </c>
      <c r="J607" s="425">
        <f>SUM(J608:J609)</f>
        <v>0</v>
      </c>
      <c r="K607" s="422"/>
    </row>
    <row r="608" spans="1:11" x14ac:dyDescent="0.25">
      <c r="A608" s="440"/>
      <c r="B608" s="427" t="s">
        <v>603</v>
      </c>
      <c r="C608" s="427" t="s">
        <v>476</v>
      </c>
      <c r="D608" s="426"/>
      <c r="E608" s="428" t="s">
        <v>477</v>
      </c>
      <c r="F608" s="429">
        <v>0</v>
      </c>
      <c r="G608" s="429">
        <v>0</v>
      </c>
      <c r="H608" s="429">
        <f>[2]Nov!I658</f>
        <v>0</v>
      </c>
      <c r="I608" s="429">
        <f t="shared" ref="I608:I609" si="262">G608+H608</f>
        <v>0</v>
      </c>
      <c r="J608" s="429">
        <f t="shared" ref="J608:J609" si="263">F608-I608</f>
        <v>0</v>
      </c>
      <c r="K608" s="426"/>
    </row>
    <row r="609" spans="1:11" x14ac:dyDescent="0.25">
      <c r="A609" s="439"/>
      <c r="B609" s="427" t="s">
        <v>603</v>
      </c>
      <c r="C609" s="427" t="s">
        <v>478</v>
      </c>
      <c r="D609" s="426"/>
      <c r="E609" s="428" t="s">
        <v>479</v>
      </c>
      <c r="F609" s="429">
        <v>0</v>
      </c>
      <c r="G609" s="429">
        <v>0</v>
      </c>
      <c r="H609" s="429">
        <f>[2]Nov!I659</f>
        <v>0</v>
      </c>
      <c r="I609" s="429">
        <f t="shared" si="262"/>
        <v>0</v>
      </c>
      <c r="J609" s="429">
        <f t="shared" si="263"/>
        <v>0</v>
      </c>
      <c r="K609" s="426"/>
    </row>
    <row r="610" spans="1:11" x14ac:dyDescent="0.25">
      <c r="A610" s="439"/>
      <c r="B610" s="423" t="s">
        <v>603</v>
      </c>
      <c r="C610" s="423" t="s">
        <v>460</v>
      </c>
      <c r="D610" s="422"/>
      <c r="E610" s="424" t="s">
        <v>461</v>
      </c>
      <c r="F610" s="425">
        <f>SUM(F611:F612)</f>
        <v>0</v>
      </c>
      <c r="G610" s="425">
        <f>SUM(G611:G612)</f>
        <v>0</v>
      </c>
      <c r="H610" s="425">
        <f>SUM(H611:H612)</f>
        <v>0</v>
      </c>
      <c r="I610" s="425">
        <f>SUM(I611:I612)</f>
        <v>0</v>
      </c>
      <c r="J610" s="425">
        <f>SUM(J611:J612)</f>
        <v>0</v>
      </c>
      <c r="K610" s="422"/>
    </row>
    <row r="611" spans="1:11" ht="25.5" x14ac:dyDescent="0.25">
      <c r="A611" s="440"/>
      <c r="B611" s="427" t="s">
        <v>603</v>
      </c>
      <c r="C611" s="427" t="s">
        <v>605</v>
      </c>
      <c r="D611" s="426"/>
      <c r="E611" s="464" t="s">
        <v>606</v>
      </c>
      <c r="F611" s="429">
        <v>0</v>
      </c>
      <c r="G611" s="429">
        <v>0</v>
      </c>
      <c r="H611" s="429">
        <f>[2]Nov!I661</f>
        <v>0</v>
      </c>
      <c r="I611" s="429">
        <f t="shared" ref="I611:I612" si="264">G611+H611</f>
        <v>0</v>
      </c>
      <c r="J611" s="429">
        <f t="shared" ref="J611:J612" si="265">F611-I611</f>
        <v>0</v>
      </c>
      <c r="K611" s="426"/>
    </row>
    <row r="612" spans="1:11" x14ac:dyDescent="0.25">
      <c r="A612" s="439"/>
      <c r="B612" s="427" t="s">
        <v>603</v>
      </c>
      <c r="C612" s="427" t="s">
        <v>462</v>
      </c>
      <c r="D612" s="426"/>
      <c r="E612" s="428" t="s">
        <v>463</v>
      </c>
      <c r="F612" s="429">
        <v>0</v>
      </c>
      <c r="G612" s="429">
        <v>0</v>
      </c>
      <c r="H612" s="429">
        <f>[2]Nov!I662</f>
        <v>0</v>
      </c>
      <c r="I612" s="429">
        <f t="shared" si="264"/>
        <v>0</v>
      </c>
      <c r="J612" s="429">
        <f t="shared" si="265"/>
        <v>0</v>
      </c>
      <c r="K612" s="426"/>
    </row>
    <row r="613" spans="1:11" x14ac:dyDescent="0.25">
      <c r="A613" s="439"/>
      <c r="B613" s="427"/>
      <c r="C613" s="427"/>
      <c r="D613" s="426"/>
      <c r="E613" s="428"/>
      <c r="F613" s="429"/>
      <c r="G613" s="429"/>
      <c r="H613" s="429"/>
      <c r="I613" s="429"/>
      <c r="J613" s="429"/>
      <c r="K613" s="426"/>
    </row>
    <row r="614" spans="1:11" x14ac:dyDescent="0.25">
      <c r="A614" s="439"/>
      <c r="B614" s="419" t="s">
        <v>607</v>
      </c>
      <c r="C614" s="438"/>
      <c r="D614" s="418"/>
      <c r="E614" s="420" t="s">
        <v>608</v>
      </c>
      <c r="F614" s="421">
        <f>F615</f>
        <v>13015000</v>
      </c>
      <c r="G614" s="421">
        <f>G615</f>
        <v>13015000</v>
      </c>
      <c r="H614" s="421">
        <f>H615</f>
        <v>0</v>
      </c>
      <c r="I614" s="421">
        <f>I615</f>
        <v>13015000</v>
      </c>
      <c r="J614" s="421">
        <f>J615</f>
        <v>0</v>
      </c>
      <c r="K614" s="426"/>
    </row>
    <row r="615" spans="1:11" x14ac:dyDescent="0.25">
      <c r="A615" s="439"/>
      <c r="B615" s="419" t="s">
        <v>607</v>
      </c>
      <c r="C615" s="419" t="s">
        <v>359</v>
      </c>
      <c r="D615" s="418"/>
      <c r="E615" s="420" t="s">
        <v>67</v>
      </c>
      <c r="F615" s="421">
        <f>F616+F621</f>
        <v>13015000</v>
      </c>
      <c r="G615" s="421">
        <f>G616+G621</f>
        <v>13015000</v>
      </c>
      <c r="H615" s="421">
        <f>H616+H621</f>
        <v>0</v>
      </c>
      <c r="I615" s="421">
        <f>I616+I621</f>
        <v>13015000</v>
      </c>
      <c r="J615" s="421">
        <f>J616+J621</f>
        <v>0</v>
      </c>
      <c r="K615" s="426"/>
    </row>
    <row r="616" spans="1:11" x14ac:dyDescent="0.25">
      <c r="A616" s="439"/>
      <c r="B616" s="423" t="s">
        <v>607</v>
      </c>
      <c r="C616" s="423" t="s">
        <v>360</v>
      </c>
      <c r="D616" s="422"/>
      <c r="E616" s="424" t="s">
        <v>361</v>
      </c>
      <c r="F616" s="425">
        <f>SUM(F617:F619)</f>
        <v>565000</v>
      </c>
      <c r="G616" s="425">
        <f>SUM(G617:G619)</f>
        <v>565000</v>
      </c>
      <c r="H616" s="425">
        <f>SUM(H617:H619)</f>
        <v>0</v>
      </c>
      <c r="I616" s="425">
        <f>SUM(I617:I619)</f>
        <v>565000</v>
      </c>
      <c r="J616" s="425">
        <f>SUM(J617:J619)</f>
        <v>0</v>
      </c>
      <c r="K616" s="426"/>
    </row>
    <row r="617" spans="1:11" x14ac:dyDescent="0.25">
      <c r="A617" s="439"/>
      <c r="B617" s="427" t="s">
        <v>607</v>
      </c>
      <c r="C617" s="427" t="s">
        <v>362</v>
      </c>
      <c r="D617" s="426"/>
      <c r="E617" s="428" t="s">
        <v>363</v>
      </c>
      <c r="F617" s="429">
        <v>55000</v>
      </c>
      <c r="G617" s="429">
        <v>55000</v>
      </c>
      <c r="H617" s="429">
        <f>[2]Nov!I667</f>
        <v>0</v>
      </c>
      <c r="I617" s="429">
        <f>G617+H617</f>
        <v>55000</v>
      </c>
      <c r="J617" s="429">
        <f t="shared" ref="J617:J619" si="266">F617-I617</f>
        <v>0</v>
      </c>
      <c r="K617" s="426"/>
    </row>
    <row r="618" spans="1:11" x14ac:dyDescent="0.25">
      <c r="A618" s="439"/>
      <c r="B618" s="427" t="s">
        <v>607</v>
      </c>
      <c r="C618" s="427" t="s">
        <v>366</v>
      </c>
      <c r="D618" s="426"/>
      <c r="E618" s="428" t="s">
        <v>367</v>
      </c>
      <c r="F618" s="429">
        <v>60000</v>
      </c>
      <c r="G618" s="429">
        <v>60000</v>
      </c>
      <c r="H618" s="429">
        <f>[2]Nov!I668</f>
        <v>0</v>
      </c>
      <c r="I618" s="429">
        <f>G618+H618</f>
        <v>60000</v>
      </c>
      <c r="J618" s="429">
        <f t="shared" si="266"/>
        <v>0</v>
      </c>
      <c r="K618" s="426"/>
    </row>
    <row r="619" spans="1:11" x14ac:dyDescent="0.25">
      <c r="A619" s="439"/>
      <c r="B619" s="427" t="s">
        <v>607</v>
      </c>
      <c r="C619" s="427" t="s">
        <v>368</v>
      </c>
      <c r="D619" s="426"/>
      <c r="E619" s="428" t="s">
        <v>369</v>
      </c>
      <c r="F619" s="429">
        <v>450000</v>
      </c>
      <c r="G619" s="429">
        <v>450000</v>
      </c>
      <c r="H619" s="429">
        <f>[2]Nov!I669</f>
        <v>0</v>
      </c>
      <c r="I619" s="429">
        <f>G619+H619</f>
        <v>450000</v>
      </c>
      <c r="J619" s="429">
        <f t="shared" si="266"/>
        <v>0</v>
      </c>
      <c r="K619" s="426"/>
    </row>
    <row r="620" spans="1:11" x14ac:dyDescent="0.25">
      <c r="A620" s="477"/>
      <c r="B620" s="427"/>
      <c r="C620" s="427"/>
      <c r="D620" s="426"/>
      <c r="E620" s="428"/>
      <c r="F620" s="429"/>
      <c r="G620" s="429"/>
      <c r="H620" s="429"/>
      <c r="I620" s="429"/>
      <c r="J620" s="429"/>
      <c r="K620" s="426"/>
    </row>
    <row r="621" spans="1:11" x14ac:dyDescent="0.25">
      <c r="A621" s="476"/>
      <c r="B621" s="423" t="s">
        <v>607</v>
      </c>
      <c r="C621" s="423" t="s">
        <v>460</v>
      </c>
      <c r="D621" s="422"/>
      <c r="E621" s="424" t="s">
        <v>461</v>
      </c>
      <c r="F621" s="425">
        <f>SUM(F622:F623)</f>
        <v>12450000</v>
      </c>
      <c r="G621" s="425">
        <f>SUM(G622:G623)</f>
        <v>12450000</v>
      </c>
      <c r="H621" s="425">
        <f>SUM(H622:H623)</f>
        <v>0</v>
      </c>
      <c r="I621" s="425">
        <f>SUM(I622:I623)</f>
        <v>12450000</v>
      </c>
      <c r="J621" s="425">
        <f>SUM(J622:J623)</f>
        <v>0</v>
      </c>
      <c r="K621" s="426"/>
    </row>
    <row r="622" spans="1:11" x14ac:dyDescent="0.25">
      <c r="A622" s="439"/>
      <c r="B622" s="427" t="s">
        <v>607</v>
      </c>
      <c r="C622" s="427" t="s">
        <v>594</v>
      </c>
      <c r="D622" s="426"/>
      <c r="E622" s="428" t="s">
        <v>595</v>
      </c>
      <c r="F622" s="429">
        <v>6450000</v>
      </c>
      <c r="G622" s="429">
        <v>6450000</v>
      </c>
      <c r="H622" s="429">
        <f>[2]Nov!I674</f>
        <v>0</v>
      </c>
      <c r="I622" s="429">
        <f>G622+H622</f>
        <v>6450000</v>
      </c>
      <c r="J622" s="429">
        <f t="shared" ref="J622:J623" si="267">F622-I622</f>
        <v>0</v>
      </c>
      <c r="K622" s="426"/>
    </row>
    <row r="623" spans="1:11" x14ac:dyDescent="0.25">
      <c r="A623" s="439"/>
      <c r="B623" s="427" t="s">
        <v>607</v>
      </c>
      <c r="C623" s="427" t="s">
        <v>462</v>
      </c>
      <c r="D623" s="426"/>
      <c r="E623" s="428" t="s">
        <v>479</v>
      </c>
      <c r="F623" s="429">
        <v>6000000</v>
      </c>
      <c r="G623" s="429">
        <v>6000000</v>
      </c>
      <c r="H623" s="429">
        <f>[2]Nov!I675</f>
        <v>0</v>
      </c>
      <c r="I623" s="429">
        <f>G623+H623</f>
        <v>6000000</v>
      </c>
      <c r="J623" s="429">
        <f t="shared" si="267"/>
        <v>0</v>
      </c>
      <c r="K623" s="426"/>
    </row>
    <row r="624" spans="1:11" x14ac:dyDescent="0.25">
      <c r="A624" s="439"/>
      <c r="B624" s="427"/>
      <c r="C624" s="427"/>
      <c r="D624" s="426"/>
      <c r="E624" s="428"/>
      <c r="F624" s="429"/>
      <c r="G624" s="429"/>
      <c r="H624" s="429"/>
      <c r="I624" s="429"/>
      <c r="J624" s="429"/>
      <c r="K624" s="426"/>
    </row>
    <row r="625" spans="1:11" x14ac:dyDescent="0.25">
      <c r="A625" s="439"/>
      <c r="B625" s="419" t="s">
        <v>609</v>
      </c>
      <c r="C625" s="438"/>
      <c r="D625" s="418"/>
      <c r="E625" s="420" t="s">
        <v>610</v>
      </c>
      <c r="F625" s="421">
        <f>F626</f>
        <v>5550000</v>
      </c>
      <c r="G625" s="421">
        <f>G626</f>
        <v>5550000</v>
      </c>
      <c r="H625" s="421">
        <f>H626</f>
        <v>0</v>
      </c>
      <c r="I625" s="421">
        <f>I626</f>
        <v>5550000</v>
      </c>
      <c r="J625" s="421">
        <f>J626</f>
        <v>0</v>
      </c>
      <c r="K625" s="418"/>
    </row>
    <row r="626" spans="1:11" x14ac:dyDescent="0.25">
      <c r="A626" s="438"/>
      <c r="B626" s="419" t="s">
        <v>609</v>
      </c>
      <c r="C626" s="419" t="s">
        <v>359</v>
      </c>
      <c r="D626" s="418"/>
      <c r="E626" s="420" t="s">
        <v>67</v>
      </c>
      <c r="F626" s="421">
        <f>F627+F630</f>
        <v>5550000</v>
      </c>
      <c r="G626" s="421">
        <f>G627+G630</f>
        <v>5550000</v>
      </c>
      <c r="H626" s="421">
        <f>H627+H630</f>
        <v>0</v>
      </c>
      <c r="I626" s="421">
        <f>I627+I630</f>
        <v>5550000</v>
      </c>
      <c r="J626" s="421">
        <f>J627+J630</f>
        <v>0</v>
      </c>
      <c r="K626" s="418"/>
    </row>
    <row r="627" spans="1:11" x14ac:dyDescent="0.25">
      <c r="A627" s="438"/>
      <c r="B627" s="423" t="s">
        <v>609</v>
      </c>
      <c r="C627" s="423" t="s">
        <v>360</v>
      </c>
      <c r="D627" s="422"/>
      <c r="E627" s="424" t="s">
        <v>361</v>
      </c>
      <c r="F627" s="425">
        <f>SUM(F628:F629)</f>
        <v>3000000</v>
      </c>
      <c r="G627" s="425">
        <f>SUM(G628:G629)</f>
        <v>3000000</v>
      </c>
      <c r="H627" s="425">
        <f>SUM(H628:H629)</f>
        <v>0</v>
      </c>
      <c r="I627" s="425">
        <f>SUM(I628:I629)</f>
        <v>3000000</v>
      </c>
      <c r="J627" s="425">
        <f>SUM(J628:J629)</f>
        <v>0</v>
      </c>
      <c r="K627" s="422"/>
    </row>
    <row r="628" spans="1:11" x14ac:dyDescent="0.25">
      <c r="A628" s="440"/>
      <c r="B628" s="427" t="s">
        <v>609</v>
      </c>
      <c r="C628" s="427" t="s">
        <v>366</v>
      </c>
      <c r="D628" s="426"/>
      <c r="E628" s="428" t="s">
        <v>367</v>
      </c>
      <c r="F628" s="429">
        <v>140000</v>
      </c>
      <c r="G628" s="429">
        <f>65000+75000</f>
        <v>140000</v>
      </c>
      <c r="H628" s="429">
        <f>[2]Nov!I680</f>
        <v>0</v>
      </c>
      <c r="I628" s="429">
        <f t="shared" ref="I628:I629" si="268">G628+H628</f>
        <v>140000</v>
      </c>
      <c r="J628" s="429">
        <f t="shared" ref="J628:J629" si="269">F628-I628</f>
        <v>0</v>
      </c>
      <c r="K628" s="426"/>
    </row>
    <row r="629" spans="1:11" x14ac:dyDescent="0.25">
      <c r="A629" s="439"/>
      <c r="B629" s="427" t="s">
        <v>609</v>
      </c>
      <c r="C629" s="427" t="s">
        <v>368</v>
      </c>
      <c r="D629" s="426"/>
      <c r="E629" s="428" t="s">
        <v>369</v>
      </c>
      <c r="F629" s="429">
        <v>2860000</v>
      </c>
      <c r="G629" s="429">
        <v>2860000</v>
      </c>
      <c r="H629" s="429">
        <f>[2]Nov!I681</f>
        <v>0</v>
      </c>
      <c r="I629" s="429">
        <f t="shared" si="268"/>
        <v>2860000</v>
      </c>
      <c r="J629" s="429">
        <f t="shared" si="269"/>
        <v>0</v>
      </c>
      <c r="K629" s="426"/>
    </row>
    <row r="630" spans="1:11" x14ac:dyDescent="0.25">
      <c r="A630" s="439"/>
      <c r="B630" s="423" t="s">
        <v>609</v>
      </c>
      <c r="C630" s="423" t="s">
        <v>370</v>
      </c>
      <c r="D630" s="422"/>
      <c r="E630" s="424" t="s">
        <v>81</v>
      </c>
      <c r="F630" s="425">
        <f>SUM(F631:F632)</f>
        <v>2550000</v>
      </c>
      <c r="G630" s="425">
        <f>SUM(G631:G632)</f>
        <v>2550000</v>
      </c>
      <c r="H630" s="425">
        <f>SUM(H631:H632)</f>
        <v>0</v>
      </c>
      <c r="I630" s="425">
        <f>SUM(I631:I632)</f>
        <v>2550000</v>
      </c>
      <c r="J630" s="425">
        <f>SUM(J631:J632)</f>
        <v>0</v>
      </c>
      <c r="K630" s="422"/>
    </row>
    <row r="631" spans="1:11" x14ac:dyDescent="0.25">
      <c r="A631" s="440"/>
      <c r="B631" s="427" t="s">
        <v>609</v>
      </c>
      <c r="C631" s="427" t="s">
        <v>476</v>
      </c>
      <c r="D631" s="426"/>
      <c r="E631" s="428" t="s">
        <v>477</v>
      </c>
      <c r="F631" s="429">
        <v>450000</v>
      </c>
      <c r="G631" s="429">
        <v>450000</v>
      </c>
      <c r="H631" s="429">
        <f>[2]Nov!I683</f>
        <v>0</v>
      </c>
      <c r="I631" s="429">
        <f t="shared" ref="I631:I632" si="270">G631+H631</f>
        <v>450000</v>
      </c>
      <c r="J631" s="429">
        <f t="shared" ref="J631:J632" si="271">F631-I631</f>
        <v>0</v>
      </c>
      <c r="K631" s="426"/>
    </row>
    <row r="632" spans="1:11" x14ac:dyDescent="0.25">
      <c r="A632" s="439"/>
      <c r="B632" s="427" t="s">
        <v>609</v>
      </c>
      <c r="C632" s="427" t="s">
        <v>478</v>
      </c>
      <c r="D632" s="426"/>
      <c r="E632" s="428" t="s">
        <v>479</v>
      </c>
      <c r="F632" s="429">
        <v>2100000</v>
      </c>
      <c r="G632" s="429">
        <v>2100000</v>
      </c>
      <c r="H632" s="429">
        <f>[2]Nov!I684</f>
        <v>0</v>
      </c>
      <c r="I632" s="429">
        <f t="shared" si="270"/>
        <v>2100000</v>
      </c>
      <c r="J632" s="429">
        <f t="shared" si="271"/>
        <v>0</v>
      </c>
      <c r="K632" s="426"/>
    </row>
    <row r="633" spans="1:11" x14ac:dyDescent="0.25">
      <c r="A633" s="439"/>
      <c r="B633" s="427"/>
      <c r="C633" s="427"/>
      <c r="D633" s="426"/>
      <c r="E633" s="428"/>
      <c r="F633" s="429"/>
      <c r="G633" s="429"/>
      <c r="H633" s="429"/>
      <c r="I633" s="429"/>
      <c r="J633" s="429"/>
      <c r="K633" s="426"/>
    </row>
    <row r="634" spans="1:11" x14ac:dyDescent="0.25">
      <c r="A634" s="439"/>
      <c r="B634" s="419" t="s">
        <v>611</v>
      </c>
      <c r="C634" s="438"/>
      <c r="D634" s="420" t="s">
        <v>612</v>
      </c>
      <c r="E634" s="418"/>
      <c r="F634" s="421">
        <f t="shared" ref="F634:J635" si="272">F635</f>
        <v>2920000</v>
      </c>
      <c r="G634" s="421">
        <f t="shared" si="272"/>
        <v>0</v>
      </c>
      <c r="H634" s="421">
        <f t="shared" si="272"/>
        <v>2920000</v>
      </c>
      <c r="I634" s="421">
        <f t="shared" si="272"/>
        <v>2920000</v>
      </c>
      <c r="J634" s="421">
        <f t="shared" si="272"/>
        <v>0</v>
      </c>
      <c r="K634" s="418"/>
    </row>
    <row r="635" spans="1:11" ht="38.25" x14ac:dyDescent="0.25">
      <c r="A635" s="438"/>
      <c r="B635" s="449" t="s">
        <v>613</v>
      </c>
      <c r="C635" s="438"/>
      <c r="D635" s="418"/>
      <c r="E635" s="442" t="s">
        <v>614</v>
      </c>
      <c r="F635" s="443">
        <f t="shared" si="272"/>
        <v>2920000</v>
      </c>
      <c r="G635" s="443">
        <f t="shared" si="272"/>
        <v>0</v>
      </c>
      <c r="H635" s="443">
        <f t="shared" si="272"/>
        <v>2920000</v>
      </c>
      <c r="I635" s="443">
        <f t="shared" si="272"/>
        <v>2920000</v>
      </c>
      <c r="J635" s="443">
        <f t="shared" si="272"/>
        <v>0</v>
      </c>
      <c r="K635" s="418"/>
    </row>
    <row r="636" spans="1:11" x14ac:dyDescent="0.25">
      <c r="A636" s="438"/>
      <c r="B636" s="419" t="s">
        <v>613</v>
      </c>
      <c r="C636" s="419" t="s">
        <v>359</v>
      </c>
      <c r="D636" s="418"/>
      <c r="E636" s="420" t="s">
        <v>67</v>
      </c>
      <c r="F636" s="421">
        <f>F637+F640</f>
        <v>2920000</v>
      </c>
      <c r="G636" s="421">
        <f>G637+G640</f>
        <v>0</v>
      </c>
      <c r="H636" s="421">
        <f>H637+H640</f>
        <v>2920000</v>
      </c>
      <c r="I636" s="421">
        <f>I637+I640</f>
        <v>2920000</v>
      </c>
      <c r="J636" s="421">
        <f>J637+J640</f>
        <v>0</v>
      </c>
      <c r="K636" s="418"/>
    </row>
    <row r="637" spans="1:11" x14ac:dyDescent="0.25">
      <c r="A637" s="438"/>
      <c r="B637" s="423" t="s">
        <v>613</v>
      </c>
      <c r="C637" s="423" t="s">
        <v>360</v>
      </c>
      <c r="D637" s="422"/>
      <c r="E637" s="424" t="s">
        <v>361</v>
      </c>
      <c r="F637" s="425">
        <f>SUM(F638:F639)</f>
        <v>1495000</v>
      </c>
      <c r="G637" s="425">
        <f>SUM(G638:G639)</f>
        <v>0</v>
      </c>
      <c r="H637" s="425">
        <f>SUM(H638:H639)</f>
        <v>1495000</v>
      </c>
      <c r="I637" s="425">
        <f>SUM(I638:I639)</f>
        <v>1495000</v>
      </c>
      <c r="J637" s="425">
        <f>SUM(J638:J639)</f>
        <v>0</v>
      </c>
      <c r="K637" s="422"/>
    </row>
    <row r="638" spans="1:11" x14ac:dyDescent="0.25">
      <c r="A638" s="440"/>
      <c r="B638" s="427" t="s">
        <v>613</v>
      </c>
      <c r="C638" s="427" t="s">
        <v>366</v>
      </c>
      <c r="D638" s="426"/>
      <c r="E638" s="428" t="s">
        <v>367</v>
      </c>
      <c r="F638" s="429">
        <v>155000</v>
      </c>
      <c r="G638" s="429">
        <v>0</v>
      </c>
      <c r="H638" s="429">
        <f>[2]Nov!I690</f>
        <v>155000</v>
      </c>
      <c r="I638" s="429">
        <f t="shared" ref="I638:I639" si="273">G638+H638</f>
        <v>155000</v>
      </c>
      <c r="J638" s="429">
        <f t="shared" ref="J638:J639" si="274">F638-I638</f>
        <v>0</v>
      </c>
      <c r="K638" s="426"/>
    </row>
    <row r="639" spans="1:11" x14ac:dyDescent="0.25">
      <c r="A639" s="439"/>
      <c r="B639" s="427" t="s">
        <v>613</v>
      </c>
      <c r="C639" s="427" t="s">
        <v>368</v>
      </c>
      <c r="D639" s="426"/>
      <c r="E639" s="428" t="s">
        <v>369</v>
      </c>
      <c r="F639" s="429">
        <v>1340000</v>
      </c>
      <c r="G639" s="429">
        <v>0</v>
      </c>
      <c r="H639" s="429">
        <f>[2]Nov!I691</f>
        <v>1340000</v>
      </c>
      <c r="I639" s="429">
        <f t="shared" si="273"/>
        <v>1340000</v>
      </c>
      <c r="J639" s="429">
        <f t="shared" si="274"/>
        <v>0</v>
      </c>
      <c r="K639" s="426"/>
    </row>
    <row r="640" spans="1:11" x14ac:dyDescent="0.25">
      <c r="A640" s="439"/>
      <c r="B640" s="423" t="s">
        <v>613</v>
      </c>
      <c r="C640" s="423" t="s">
        <v>370</v>
      </c>
      <c r="D640" s="422"/>
      <c r="E640" s="424" t="s">
        <v>81</v>
      </c>
      <c r="F640" s="425">
        <f>SUM(F641:F642)</f>
        <v>1425000</v>
      </c>
      <c r="G640" s="425">
        <f>SUM(G641:G642)</f>
        <v>0</v>
      </c>
      <c r="H640" s="425">
        <f>SUM(H641:H642)</f>
        <v>1425000</v>
      </c>
      <c r="I640" s="425">
        <f>SUM(I641:I642)</f>
        <v>1425000</v>
      </c>
      <c r="J640" s="425">
        <f>SUM(J641:J642)</f>
        <v>0</v>
      </c>
      <c r="K640" s="422"/>
    </row>
    <row r="641" spans="1:11" x14ac:dyDescent="0.25">
      <c r="A641" s="440"/>
      <c r="B641" s="427" t="s">
        <v>613</v>
      </c>
      <c r="C641" s="427" t="s">
        <v>476</v>
      </c>
      <c r="D641" s="426"/>
      <c r="E641" s="428" t="s">
        <v>477</v>
      </c>
      <c r="F641" s="429">
        <v>450000</v>
      </c>
      <c r="G641" s="429">
        <v>0</v>
      </c>
      <c r="H641" s="429">
        <f>[2]Nov!I693</f>
        <v>450000</v>
      </c>
      <c r="I641" s="429">
        <f t="shared" ref="I641:I642" si="275">G641+H641</f>
        <v>450000</v>
      </c>
      <c r="J641" s="429">
        <f t="shared" ref="J641:J642" si="276">F641-I641</f>
        <v>0</v>
      </c>
      <c r="K641" s="426"/>
    </row>
    <row r="642" spans="1:11" x14ac:dyDescent="0.25">
      <c r="A642" s="439"/>
      <c r="B642" s="427" t="s">
        <v>613</v>
      </c>
      <c r="C642" s="427" t="s">
        <v>478</v>
      </c>
      <c r="D642" s="426"/>
      <c r="E642" s="428" t="s">
        <v>479</v>
      </c>
      <c r="F642" s="429">
        <v>975000</v>
      </c>
      <c r="G642" s="429">
        <v>0</v>
      </c>
      <c r="H642" s="429">
        <f>[2]Nov!I694</f>
        <v>975000</v>
      </c>
      <c r="I642" s="429">
        <f t="shared" si="275"/>
        <v>975000</v>
      </c>
      <c r="J642" s="429">
        <f t="shared" si="276"/>
        <v>0</v>
      </c>
      <c r="K642" s="426"/>
    </row>
    <row r="643" spans="1:11" x14ac:dyDescent="0.25">
      <c r="A643" s="439"/>
      <c r="B643" s="427"/>
      <c r="C643" s="427"/>
      <c r="D643" s="426"/>
      <c r="E643" s="428"/>
      <c r="F643" s="429"/>
      <c r="G643" s="429"/>
      <c r="H643" s="429"/>
      <c r="I643" s="429"/>
      <c r="J643" s="429"/>
      <c r="K643" s="426"/>
    </row>
    <row r="644" spans="1:11" x14ac:dyDescent="0.25">
      <c r="A644" s="439"/>
      <c r="B644" s="419" t="s">
        <v>615</v>
      </c>
      <c r="C644" s="438"/>
      <c r="D644" s="420" t="s">
        <v>119</v>
      </c>
      <c r="E644" s="418"/>
      <c r="F644" s="421">
        <f t="shared" ref="F644:J645" si="277">F645</f>
        <v>2504800</v>
      </c>
      <c r="G644" s="421">
        <f t="shared" si="277"/>
        <v>0</v>
      </c>
      <c r="H644" s="421">
        <f t="shared" si="277"/>
        <v>2504750</v>
      </c>
      <c r="I644" s="421">
        <f t="shared" si="277"/>
        <v>2504750</v>
      </c>
      <c r="J644" s="421">
        <f t="shared" si="277"/>
        <v>50</v>
      </c>
      <c r="K644" s="418"/>
    </row>
    <row r="645" spans="1:11" ht="25.5" x14ac:dyDescent="0.25">
      <c r="A645" s="438"/>
      <c r="B645" s="449" t="s">
        <v>616</v>
      </c>
      <c r="C645" s="438"/>
      <c r="D645" s="418"/>
      <c r="E645" s="442" t="s">
        <v>617</v>
      </c>
      <c r="F645" s="443">
        <f t="shared" si="277"/>
        <v>2504800</v>
      </c>
      <c r="G645" s="443">
        <f t="shared" si="277"/>
        <v>0</v>
      </c>
      <c r="H645" s="443">
        <f t="shared" si="277"/>
        <v>2504750</v>
      </c>
      <c r="I645" s="443">
        <f t="shared" si="277"/>
        <v>2504750</v>
      </c>
      <c r="J645" s="443">
        <f t="shared" si="277"/>
        <v>50</v>
      </c>
      <c r="K645" s="418"/>
    </row>
    <row r="646" spans="1:11" x14ac:dyDescent="0.25">
      <c r="A646" s="438"/>
      <c r="B646" s="419" t="s">
        <v>616</v>
      </c>
      <c r="C646" s="419" t="s">
        <v>359</v>
      </c>
      <c r="D646" s="418"/>
      <c r="E646" s="420" t="s">
        <v>67</v>
      </c>
      <c r="F646" s="421">
        <f>F647+F650+F653</f>
        <v>2504800</v>
      </c>
      <c r="G646" s="421">
        <f>G647+G650+G653</f>
        <v>0</v>
      </c>
      <c r="H646" s="421">
        <f>H647+H650+H653</f>
        <v>2504750</v>
      </c>
      <c r="I646" s="421">
        <f>I647+I650+I653</f>
        <v>2504750</v>
      </c>
      <c r="J646" s="421">
        <f>J647+J650+J653</f>
        <v>50</v>
      </c>
      <c r="K646" s="418"/>
    </row>
    <row r="647" spans="1:11" x14ac:dyDescent="0.25">
      <c r="A647" s="438"/>
      <c r="B647" s="423" t="s">
        <v>616</v>
      </c>
      <c r="C647" s="423" t="s">
        <v>360</v>
      </c>
      <c r="D647" s="422"/>
      <c r="E647" s="424" t="s">
        <v>361</v>
      </c>
      <c r="F647" s="425">
        <f>SUM(F648:F649)</f>
        <v>704800</v>
      </c>
      <c r="G647" s="425">
        <f>SUM(G648:G649)</f>
        <v>0</v>
      </c>
      <c r="H647" s="425">
        <f>SUM(H648:H649)</f>
        <v>704750</v>
      </c>
      <c r="I647" s="425">
        <f>SUM(I648:I649)</f>
        <v>704750</v>
      </c>
      <c r="J647" s="425">
        <f>SUM(J648:J649)</f>
        <v>50</v>
      </c>
      <c r="K647" s="422"/>
    </row>
    <row r="648" spans="1:11" x14ac:dyDescent="0.25">
      <c r="A648" s="440"/>
      <c r="B648" s="427" t="s">
        <v>616</v>
      </c>
      <c r="C648" s="427" t="s">
        <v>366</v>
      </c>
      <c r="D648" s="426"/>
      <c r="E648" s="428" t="s">
        <v>367</v>
      </c>
      <c r="F648" s="429">
        <v>104800</v>
      </c>
      <c r="G648" s="429">
        <v>0</v>
      </c>
      <c r="H648" s="429">
        <f>[2]Nov!I700</f>
        <v>104750</v>
      </c>
      <c r="I648" s="429">
        <f t="shared" ref="I648:I649" si="278">G648+H648</f>
        <v>104750</v>
      </c>
      <c r="J648" s="429">
        <f t="shared" ref="J648:J649" si="279">F648-I648</f>
        <v>50</v>
      </c>
      <c r="K648" s="426"/>
    </row>
    <row r="649" spans="1:11" x14ac:dyDescent="0.25">
      <c r="A649" s="439"/>
      <c r="B649" s="427" t="s">
        <v>616</v>
      </c>
      <c r="C649" s="427" t="s">
        <v>368</v>
      </c>
      <c r="D649" s="426"/>
      <c r="E649" s="428" t="s">
        <v>369</v>
      </c>
      <c r="F649" s="429">
        <v>600000</v>
      </c>
      <c r="G649" s="429">
        <v>0</v>
      </c>
      <c r="H649" s="429">
        <f>[2]Nov!I701</f>
        <v>600000</v>
      </c>
      <c r="I649" s="429">
        <f t="shared" si="278"/>
        <v>600000</v>
      </c>
      <c r="J649" s="429">
        <f t="shared" si="279"/>
        <v>0</v>
      </c>
      <c r="K649" s="426"/>
    </row>
    <row r="650" spans="1:11" x14ac:dyDescent="0.25">
      <c r="A650" s="439"/>
      <c r="B650" s="466" t="s">
        <v>616</v>
      </c>
      <c r="C650" s="466" t="s">
        <v>370</v>
      </c>
      <c r="D650" s="467"/>
      <c r="E650" s="468" t="s">
        <v>81</v>
      </c>
      <c r="F650" s="469">
        <f>SUM(F651:F652)</f>
        <v>1050000</v>
      </c>
      <c r="G650" s="469">
        <f>SUM(G651:G652)</f>
        <v>0</v>
      </c>
      <c r="H650" s="469">
        <f>SUM(H651:H652)</f>
        <v>1050000</v>
      </c>
      <c r="I650" s="469">
        <f>SUM(I651:I652)</f>
        <v>1050000</v>
      </c>
      <c r="J650" s="469">
        <f>SUM(J651:J652)</f>
        <v>0</v>
      </c>
      <c r="K650" s="467"/>
    </row>
    <row r="651" spans="1:11" x14ac:dyDescent="0.25">
      <c r="A651" s="465"/>
      <c r="B651" s="427" t="s">
        <v>616</v>
      </c>
      <c r="C651" s="427" t="s">
        <v>476</v>
      </c>
      <c r="D651" s="426"/>
      <c r="E651" s="428" t="s">
        <v>477</v>
      </c>
      <c r="F651" s="429">
        <v>450000</v>
      </c>
      <c r="G651" s="429">
        <v>0</v>
      </c>
      <c r="H651" s="429">
        <f>[2]Nov!I703</f>
        <v>450000</v>
      </c>
      <c r="I651" s="429">
        <f t="shared" ref="I651:I652" si="280">G651+H651</f>
        <v>450000</v>
      </c>
      <c r="J651" s="429">
        <f t="shared" ref="J651:J652" si="281">F651-I651</f>
        <v>0</v>
      </c>
      <c r="K651" s="426"/>
    </row>
    <row r="652" spans="1:11" x14ac:dyDescent="0.25">
      <c r="A652" s="439"/>
      <c r="B652" s="427" t="s">
        <v>616</v>
      </c>
      <c r="C652" s="427" t="s">
        <v>478</v>
      </c>
      <c r="D652" s="426"/>
      <c r="E652" s="428" t="s">
        <v>479</v>
      </c>
      <c r="F652" s="429">
        <v>600000</v>
      </c>
      <c r="G652" s="429">
        <v>0</v>
      </c>
      <c r="H652" s="429">
        <f>[2]Nov!I704</f>
        <v>600000</v>
      </c>
      <c r="I652" s="429">
        <f t="shared" si="280"/>
        <v>600000</v>
      </c>
      <c r="J652" s="429">
        <f t="shared" si="281"/>
        <v>0</v>
      </c>
      <c r="K652" s="426"/>
    </row>
    <row r="653" spans="1:11" x14ac:dyDescent="0.25">
      <c r="A653" s="439"/>
      <c r="B653" s="423" t="s">
        <v>616</v>
      </c>
      <c r="C653" s="423" t="s">
        <v>455</v>
      </c>
      <c r="D653" s="422"/>
      <c r="E653" s="424" t="s">
        <v>83</v>
      </c>
      <c r="F653" s="425">
        <f>SUM(F654:F655)</f>
        <v>750000</v>
      </c>
      <c r="G653" s="425">
        <f>SUM(G654:G655)</f>
        <v>0</v>
      </c>
      <c r="H653" s="425">
        <f>SUM(H654:H655)</f>
        <v>750000</v>
      </c>
      <c r="I653" s="425">
        <f>SUM(I654:I655)</f>
        <v>750000</v>
      </c>
      <c r="J653" s="425">
        <f>SUM(J654:J655)</f>
        <v>0</v>
      </c>
      <c r="K653" s="422"/>
    </row>
    <row r="654" spans="1:11" x14ac:dyDescent="0.25">
      <c r="A654" s="440"/>
      <c r="B654" s="427" t="s">
        <v>616</v>
      </c>
      <c r="C654" s="427" t="s">
        <v>618</v>
      </c>
      <c r="D654" s="426"/>
      <c r="E654" s="428" t="s">
        <v>619</v>
      </c>
      <c r="F654" s="429">
        <v>250000</v>
      </c>
      <c r="G654" s="429">
        <v>0</v>
      </c>
      <c r="H654" s="429">
        <f>[2]Nov!I706</f>
        <v>250000</v>
      </c>
      <c r="I654" s="429">
        <f t="shared" ref="I654:I655" si="282">G654+H654</f>
        <v>250000</v>
      </c>
      <c r="J654" s="429">
        <f t="shared" ref="J654:J655" si="283">F654-I654</f>
        <v>0</v>
      </c>
      <c r="K654" s="426"/>
    </row>
    <row r="655" spans="1:11" x14ac:dyDescent="0.25">
      <c r="A655" s="439"/>
      <c r="B655" s="451" t="s">
        <v>616</v>
      </c>
      <c r="C655" s="451" t="s">
        <v>467</v>
      </c>
      <c r="D655" s="452"/>
      <c r="E655" s="453" t="s">
        <v>468</v>
      </c>
      <c r="F655" s="454">
        <v>500000</v>
      </c>
      <c r="G655" s="454">
        <v>0</v>
      </c>
      <c r="H655" s="429">
        <f>[2]Nov!I707</f>
        <v>500000</v>
      </c>
      <c r="I655" s="454">
        <f t="shared" si="282"/>
        <v>500000</v>
      </c>
      <c r="J655" s="454">
        <f t="shared" si="283"/>
        <v>0</v>
      </c>
      <c r="K655" s="452"/>
    </row>
    <row r="656" spans="1:11" x14ac:dyDescent="0.25">
      <c r="A656" s="477"/>
      <c r="B656" s="451"/>
      <c r="C656" s="451"/>
      <c r="D656" s="452"/>
      <c r="E656" s="453"/>
      <c r="F656" s="454"/>
      <c r="G656" s="454"/>
      <c r="H656" s="429"/>
      <c r="I656" s="454"/>
      <c r="J656" s="454"/>
      <c r="K656" s="452"/>
    </row>
    <row r="657" spans="1:11" x14ac:dyDescent="0.25">
      <c r="A657" s="476"/>
      <c r="B657" s="419">
        <v>5</v>
      </c>
      <c r="C657" s="438"/>
      <c r="D657" s="420" t="s">
        <v>620</v>
      </c>
      <c r="E657" s="418"/>
      <c r="F657" s="421">
        <f>F658+F664+F670</f>
        <v>275402500</v>
      </c>
      <c r="G657" s="421">
        <f>G658+G664+G670</f>
        <v>300000</v>
      </c>
      <c r="H657" s="421">
        <f>H658+H664+H670</f>
        <v>255211750</v>
      </c>
      <c r="I657" s="421">
        <f>I658+I664+I670</f>
        <v>255511750</v>
      </c>
      <c r="J657" s="421">
        <f>J658+J664+J670</f>
        <v>19890750</v>
      </c>
      <c r="K657" s="418"/>
    </row>
    <row r="658" spans="1:11" x14ac:dyDescent="0.25">
      <c r="A658" s="438"/>
      <c r="B658" s="419" t="s">
        <v>621</v>
      </c>
      <c r="C658" s="438"/>
      <c r="D658" s="420" t="s">
        <v>121</v>
      </c>
      <c r="E658" s="418"/>
      <c r="F658" s="421">
        <f t="shared" ref="F658:J660" si="284">F659</f>
        <v>56202500</v>
      </c>
      <c r="G658" s="421">
        <f t="shared" si="284"/>
        <v>300000</v>
      </c>
      <c r="H658" s="421">
        <f t="shared" si="284"/>
        <v>42811750</v>
      </c>
      <c r="I658" s="421">
        <f t="shared" si="284"/>
        <v>43111750</v>
      </c>
      <c r="J658" s="421">
        <f t="shared" si="284"/>
        <v>13090750</v>
      </c>
      <c r="K658" s="418"/>
    </row>
    <row r="659" spans="1:11" x14ac:dyDescent="0.25">
      <c r="A659" s="438"/>
      <c r="B659" s="419" t="s">
        <v>622</v>
      </c>
      <c r="C659" s="438"/>
      <c r="D659" s="418"/>
      <c r="E659" s="420" t="s">
        <v>623</v>
      </c>
      <c r="F659" s="421">
        <f t="shared" si="284"/>
        <v>56202500</v>
      </c>
      <c r="G659" s="421">
        <f t="shared" si="284"/>
        <v>300000</v>
      </c>
      <c r="H659" s="421">
        <f t="shared" si="284"/>
        <v>42811750</v>
      </c>
      <c r="I659" s="421">
        <f t="shared" si="284"/>
        <v>43111750</v>
      </c>
      <c r="J659" s="421">
        <f t="shared" si="284"/>
        <v>13090750</v>
      </c>
      <c r="K659" s="418"/>
    </row>
    <row r="660" spans="1:11" x14ac:dyDescent="0.25">
      <c r="A660" s="438"/>
      <c r="B660" s="419" t="s">
        <v>622</v>
      </c>
      <c r="C660" s="419" t="s">
        <v>624</v>
      </c>
      <c r="D660" s="418"/>
      <c r="E660" s="420" t="s">
        <v>625</v>
      </c>
      <c r="F660" s="421">
        <f t="shared" si="284"/>
        <v>56202500</v>
      </c>
      <c r="G660" s="421">
        <f t="shared" si="284"/>
        <v>300000</v>
      </c>
      <c r="H660" s="421">
        <f t="shared" si="284"/>
        <v>42811750</v>
      </c>
      <c r="I660" s="421">
        <f t="shared" si="284"/>
        <v>43111750</v>
      </c>
      <c r="J660" s="421">
        <f t="shared" si="284"/>
        <v>13090750</v>
      </c>
      <c r="K660" s="418"/>
    </row>
    <row r="661" spans="1:11" x14ac:dyDescent="0.25">
      <c r="A661" s="438"/>
      <c r="B661" s="423" t="s">
        <v>622</v>
      </c>
      <c r="C661" s="423" t="s">
        <v>626</v>
      </c>
      <c r="D661" s="422"/>
      <c r="E661" s="424" t="s">
        <v>625</v>
      </c>
      <c r="F661" s="425">
        <f>SUM(F662)</f>
        <v>56202500</v>
      </c>
      <c r="G661" s="425">
        <f>SUM(G662)</f>
        <v>300000</v>
      </c>
      <c r="H661" s="425">
        <f>SUM(H662)</f>
        <v>42811750</v>
      </c>
      <c r="I661" s="425">
        <f>SUM(I662)</f>
        <v>43111750</v>
      </c>
      <c r="J661" s="425">
        <f>SUM(J662)</f>
        <v>13090750</v>
      </c>
      <c r="K661" s="422"/>
    </row>
    <row r="662" spans="1:11" x14ac:dyDescent="0.25">
      <c r="A662" s="440"/>
      <c r="B662" s="427" t="s">
        <v>622</v>
      </c>
      <c r="C662" s="427" t="s">
        <v>627</v>
      </c>
      <c r="D662" s="426"/>
      <c r="E662" s="428" t="s">
        <v>625</v>
      </c>
      <c r="F662" s="429">
        <v>56202500</v>
      </c>
      <c r="G662" s="429">
        <v>300000</v>
      </c>
      <c r="H662" s="429">
        <f>[2]Nov!I718</f>
        <v>42811750</v>
      </c>
      <c r="I662" s="429">
        <f t="shared" ref="I662" si="285">G662+H662</f>
        <v>43111750</v>
      </c>
      <c r="J662" s="429">
        <f t="shared" ref="J662" si="286">F662-I662</f>
        <v>13090750</v>
      </c>
      <c r="K662" s="426"/>
    </row>
    <row r="663" spans="1:11" x14ac:dyDescent="0.25">
      <c r="A663" s="439"/>
      <c r="B663" s="427"/>
      <c r="C663" s="427"/>
      <c r="D663" s="426"/>
      <c r="E663" s="428"/>
      <c r="F663" s="429"/>
      <c r="G663" s="429"/>
      <c r="H663" s="429"/>
      <c r="I663" s="429"/>
      <c r="J663" s="429"/>
      <c r="K663" s="426"/>
    </row>
    <row r="664" spans="1:11" x14ac:dyDescent="0.25">
      <c r="A664" s="439"/>
      <c r="B664" s="419" t="s">
        <v>628</v>
      </c>
      <c r="C664" s="438"/>
      <c r="D664" s="420" t="s">
        <v>122</v>
      </c>
      <c r="E664" s="418"/>
      <c r="F664" s="421">
        <f t="shared" ref="F664:J666" si="287">F665</f>
        <v>5000000</v>
      </c>
      <c r="G664" s="421">
        <f t="shared" si="287"/>
        <v>0</v>
      </c>
      <c r="H664" s="421">
        <f t="shared" si="287"/>
        <v>0</v>
      </c>
      <c r="I664" s="421">
        <f t="shared" si="287"/>
        <v>0</v>
      </c>
      <c r="J664" s="421">
        <f t="shared" si="287"/>
        <v>5000000</v>
      </c>
      <c r="K664" s="418"/>
    </row>
    <row r="665" spans="1:11" x14ac:dyDescent="0.25">
      <c r="A665" s="438"/>
      <c r="B665" s="419" t="s">
        <v>629</v>
      </c>
      <c r="C665" s="438"/>
      <c r="D665" s="418"/>
      <c r="E665" s="420" t="s">
        <v>630</v>
      </c>
      <c r="F665" s="421">
        <f t="shared" si="287"/>
        <v>5000000</v>
      </c>
      <c r="G665" s="421">
        <f t="shared" si="287"/>
        <v>0</v>
      </c>
      <c r="H665" s="421">
        <f t="shared" si="287"/>
        <v>0</v>
      </c>
      <c r="I665" s="421">
        <f t="shared" si="287"/>
        <v>0</v>
      </c>
      <c r="J665" s="421">
        <f t="shared" si="287"/>
        <v>5000000</v>
      </c>
      <c r="K665" s="418"/>
    </row>
    <row r="666" spans="1:11" x14ac:dyDescent="0.25">
      <c r="A666" s="438"/>
      <c r="B666" s="419" t="s">
        <v>629</v>
      </c>
      <c r="C666" s="419" t="s">
        <v>624</v>
      </c>
      <c r="D666" s="418"/>
      <c r="E666" s="420" t="s">
        <v>625</v>
      </c>
      <c r="F666" s="421">
        <f t="shared" si="287"/>
        <v>5000000</v>
      </c>
      <c r="G666" s="421">
        <f t="shared" si="287"/>
        <v>0</v>
      </c>
      <c r="H666" s="421">
        <f t="shared" si="287"/>
        <v>0</v>
      </c>
      <c r="I666" s="421">
        <f t="shared" si="287"/>
        <v>0</v>
      </c>
      <c r="J666" s="421">
        <f t="shared" si="287"/>
        <v>5000000</v>
      </c>
      <c r="K666" s="418"/>
    </row>
    <row r="667" spans="1:11" x14ac:dyDescent="0.25">
      <c r="A667" s="438"/>
      <c r="B667" s="423" t="s">
        <v>629</v>
      </c>
      <c r="C667" s="423" t="s">
        <v>626</v>
      </c>
      <c r="D667" s="422"/>
      <c r="E667" s="424" t="s">
        <v>625</v>
      </c>
      <c r="F667" s="425">
        <f>SUM(F668)</f>
        <v>5000000</v>
      </c>
      <c r="G667" s="425">
        <f>SUM(G668)</f>
        <v>0</v>
      </c>
      <c r="H667" s="425">
        <f>SUM(H668)</f>
        <v>0</v>
      </c>
      <c r="I667" s="425">
        <f>SUM(I668)</f>
        <v>0</v>
      </c>
      <c r="J667" s="425">
        <f>SUM(J668)</f>
        <v>5000000</v>
      </c>
      <c r="K667" s="422"/>
    </row>
    <row r="668" spans="1:11" x14ac:dyDescent="0.25">
      <c r="A668" s="440"/>
      <c r="B668" s="427" t="s">
        <v>629</v>
      </c>
      <c r="C668" s="427" t="s">
        <v>627</v>
      </c>
      <c r="D668" s="426"/>
      <c r="E668" s="428" t="s">
        <v>625</v>
      </c>
      <c r="F668" s="429">
        <v>5000000</v>
      </c>
      <c r="G668" s="429">
        <v>0</v>
      </c>
      <c r="H668" s="429">
        <f>[2]Nov!I724</f>
        <v>0</v>
      </c>
      <c r="I668" s="429">
        <f t="shared" ref="I668" si="288">G668+H668</f>
        <v>0</v>
      </c>
      <c r="J668" s="429">
        <f t="shared" ref="J668" si="289">F668-I668</f>
        <v>5000000</v>
      </c>
      <c r="K668" s="426"/>
    </row>
    <row r="669" spans="1:11" x14ac:dyDescent="0.25">
      <c r="A669" s="439"/>
      <c r="B669" s="427"/>
      <c r="C669" s="427"/>
      <c r="D669" s="426"/>
      <c r="E669" s="428"/>
      <c r="F669" s="429"/>
      <c r="G669" s="429"/>
      <c r="H669" s="429"/>
      <c r="I669" s="429"/>
      <c r="J669" s="429"/>
      <c r="K669" s="426"/>
    </row>
    <row r="670" spans="1:11" x14ac:dyDescent="0.25">
      <c r="A670" s="439"/>
      <c r="B670" s="419" t="s">
        <v>631</v>
      </c>
      <c r="C670" s="438"/>
      <c r="D670" s="420" t="s">
        <v>632</v>
      </c>
      <c r="E670" s="418"/>
      <c r="F670" s="421">
        <f t="shared" ref="F670:J672" si="290">F671</f>
        <v>214200000</v>
      </c>
      <c r="G670" s="421">
        <f t="shared" si="290"/>
        <v>0</v>
      </c>
      <c r="H670" s="421">
        <f t="shared" si="290"/>
        <v>212400000</v>
      </c>
      <c r="I670" s="421">
        <f t="shared" si="290"/>
        <v>212400000</v>
      </c>
      <c r="J670" s="421">
        <f t="shared" si="290"/>
        <v>1800000</v>
      </c>
      <c r="K670" s="418"/>
    </row>
    <row r="671" spans="1:11" x14ac:dyDescent="0.25">
      <c r="A671" s="438"/>
      <c r="B671" s="419" t="s">
        <v>633</v>
      </c>
      <c r="C671" s="438"/>
      <c r="D671" s="418"/>
      <c r="E671" s="420" t="s">
        <v>634</v>
      </c>
      <c r="F671" s="421">
        <f t="shared" si="290"/>
        <v>214200000</v>
      </c>
      <c r="G671" s="421">
        <f t="shared" si="290"/>
        <v>0</v>
      </c>
      <c r="H671" s="421">
        <f t="shared" si="290"/>
        <v>212400000</v>
      </c>
      <c r="I671" s="421">
        <f t="shared" si="290"/>
        <v>212400000</v>
      </c>
      <c r="J671" s="421">
        <f t="shared" si="290"/>
        <v>1800000</v>
      </c>
      <c r="K671" s="418"/>
    </row>
    <row r="672" spans="1:11" x14ac:dyDescent="0.25">
      <c r="A672" s="438"/>
      <c r="B672" s="419" t="s">
        <v>633</v>
      </c>
      <c r="C672" s="419" t="s">
        <v>624</v>
      </c>
      <c r="D672" s="418"/>
      <c r="E672" s="420" t="s">
        <v>625</v>
      </c>
      <c r="F672" s="421">
        <f t="shared" si="290"/>
        <v>214200000</v>
      </c>
      <c r="G672" s="421">
        <f t="shared" si="290"/>
        <v>0</v>
      </c>
      <c r="H672" s="421">
        <f t="shared" si="290"/>
        <v>212400000</v>
      </c>
      <c r="I672" s="421">
        <f t="shared" si="290"/>
        <v>212400000</v>
      </c>
      <c r="J672" s="421">
        <f t="shared" si="290"/>
        <v>1800000</v>
      </c>
      <c r="K672" s="418"/>
    </row>
    <row r="673" spans="1:11" x14ac:dyDescent="0.25">
      <c r="A673" s="438"/>
      <c r="B673" s="423" t="s">
        <v>633</v>
      </c>
      <c r="C673" s="423" t="s">
        <v>626</v>
      </c>
      <c r="D673" s="422"/>
      <c r="E673" s="424" t="s">
        <v>625</v>
      </c>
      <c r="F673" s="425">
        <f>SUM(F674)</f>
        <v>214200000</v>
      </c>
      <c r="G673" s="425">
        <f>SUM(G674)</f>
        <v>0</v>
      </c>
      <c r="H673" s="425">
        <f>SUM(H674)</f>
        <v>212400000</v>
      </c>
      <c r="I673" s="425">
        <f>SUM(I674)</f>
        <v>212400000</v>
      </c>
      <c r="J673" s="425">
        <f>SUM(J674)</f>
        <v>1800000</v>
      </c>
      <c r="K673" s="422"/>
    </row>
    <row r="674" spans="1:11" x14ac:dyDescent="0.25">
      <c r="A674" s="440"/>
      <c r="B674" s="451" t="s">
        <v>633</v>
      </c>
      <c r="C674" s="451" t="s">
        <v>627</v>
      </c>
      <c r="D674" s="452"/>
      <c r="E674" s="453" t="s">
        <v>625</v>
      </c>
      <c r="F674" s="454">
        <v>214200000</v>
      </c>
      <c r="G674" s="454">
        <v>0</v>
      </c>
      <c r="H674" s="429">
        <f>[2]Nov!I730</f>
        <v>212400000</v>
      </c>
      <c r="I674" s="454">
        <f t="shared" ref="I674" si="291">G674+H674</f>
        <v>212400000</v>
      </c>
      <c r="J674" s="454">
        <f t="shared" ref="J674" si="292">F674-I674</f>
        <v>1800000</v>
      </c>
      <c r="K674" s="452"/>
    </row>
    <row r="675" spans="1:11" x14ac:dyDescent="0.25">
      <c r="A675" s="450"/>
      <c r="B675" s="470"/>
      <c r="C675" s="470"/>
      <c r="D675" s="406"/>
      <c r="E675" s="471" t="s">
        <v>20</v>
      </c>
      <c r="F675" s="472">
        <f>F42+F245+F461+F568+F657</f>
        <v>2109924518</v>
      </c>
      <c r="G675" s="472">
        <f>G42+G245+G461+G568+G657</f>
        <v>318810271</v>
      </c>
      <c r="H675" s="472">
        <f>H42+H245+H461+H568+H657</f>
        <v>1445444482</v>
      </c>
      <c r="I675" s="472">
        <f>I42+I245+I461+I568+I657</f>
        <v>1764254753</v>
      </c>
      <c r="J675" s="472">
        <f>J42+J245+J461+J568+J657</f>
        <v>345669765</v>
      </c>
      <c r="K675" s="406"/>
    </row>
    <row r="676" spans="1:11" x14ac:dyDescent="0.25">
      <c r="A676" s="470"/>
      <c r="B676" s="401"/>
      <c r="C676" s="395"/>
      <c r="D676" s="395"/>
      <c r="E676" s="395" t="s">
        <v>663</v>
      </c>
      <c r="F676" s="396">
        <f>F40-F675</f>
        <v>-44436318</v>
      </c>
      <c r="G676" s="396">
        <f>G40-G675</f>
        <v>-209510755</v>
      </c>
      <c r="H676" s="396">
        <f>H40-H675</f>
        <v>286112461</v>
      </c>
      <c r="I676" s="396">
        <f>I40-I675</f>
        <v>76601706</v>
      </c>
      <c r="J676" s="396">
        <f>J40-J675</f>
        <v>-121038024</v>
      </c>
      <c r="K676" s="401"/>
    </row>
    <row r="677" spans="1:11" x14ac:dyDescent="0.25">
      <c r="A677" s="401"/>
      <c r="B677" s="401"/>
      <c r="C677" s="398">
        <v>6</v>
      </c>
      <c r="D677" s="395"/>
      <c r="E677" s="395" t="s">
        <v>22</v>
      </c>
      <c r="F677" s="396">
        <f>F678-F681</f>
        <v>44436318</v>
      </c>
      <c r="G677" s="401"/>
      <c r="H677" s="405"/>
      <c r="I677" s="396">
        <f>I678-I681</f>
        <v>44436318</v>
      </c>
      <c r="J677" s="405"/>
      <c r="K677" s="405"/>
    </row>
    <row r="678" spans="1:11" x14ac:dyDescent="0.25">
      <c r="A678" s="401"/>
      <c r="B678" s="401"/>
      <c r="C678" s="399" t="s">
        <v>668</v>
      </c>
      <c r="D678" s="395"/>
      <c r="E678" s="395" t="s">
        <v>23</v>
      </c>
      <c r="F678" s="396">
        <f>F679+F680</f>
        <v>44436318</v>
      </c>
      <c r="G678" s="401"/>
      <c r="H678" s="405"/>
      <c r="I678" s="396">
        <f>I679+I680</f>
        <v>44436318</v>
      </c>
      <c r="J678" s="405"/>
      <c r="K678" s="405"/>
    </row>
    <row r="679" spans="1:11" x14ac:dyDescent="0.25">
      <c r="A679" s="401"/>
      <c r="B679" s="401"/>
      <c r="C679" s="400" t="s">
        <v>669</v>
      </c>
      <c r="D679" s="401"/>
      <c r="E679" s="401" t="s">
        <v>664</v>
      </c>
      <c r="F679" s="402">
        <v>44436318</v>
      </c>
      <c r="G679" s="401"/>
      <c r="H679" s="406"/>
      <c r="I679" s="402">
        <v>44436318</v>
      </c>
      <c r="J679" s="406"/>
      <c r="K679" s="406"/>
    </row>
    <row r="680" spans="1:11" x14ac:dyDescent="0.25">
      <c r="A680" s="401"/>
      <c r="B680" s="401"/>
      <c r="C680" s="400" t="s">
        <v>670</v>
      </c>
      <c r="D680" s="401"/>
      <c r="E680" s="401" t="s">
        <v>665</v>
      </c>
      <c r="F680" s="402"/>
      <c r="G680" s="401"/>
      <c r="H680" s="406"/>
      <c r="I680" s="402"/>
      <c r="J680" s="406"/>
      <c r="K680" s="406"/>
    </row>
    <row r="681" spans="1:11" x14ac:dyDescent="0.25">
      <c r="A681" s="401"/>
      <c r="B681" s="401"/>
      <c r="C681" s="399" t="s">
        <v>671</v>
      </c>
      <c r="D681" s="395"/>
      <c r="E681" s="395" t="s">
        <v>24</v>
      </c>
      <c r="F681" s="396">
        <f>F682+F683</f>
        <v>0</v>
      </c>
      <c r="G681" s="401"/>
      <c r="H681" s="407"/>
      <c r="I681" s="396">
        <f>I682+I683</f>
        <v>0</v>
      </c>
      <c r="J681" s="407"/>
      <c r="K681" s="407"/>
    </row>
    <row r="682" spans="1:11" x14ac:dyDescent="0.25">
      <c r="A682" s="401"/>
      <c r="B682" s="401"/>
      <c r="C682" s="400" t="s">
        <v>672</v>
      </c>
      <c r="D682" s="401"/>
      <c r="E682" s="401" t="s">
        <v>666</v>
      </c>
      <c r="F682" s="402"/>
      <c r="G682" s="401"/>
      <c r="H682" s="401"/>
      <c r="I682" s="402"/>
      <c r="J682" s="401"/>
      <c r="K682" s="401"/>
    </row>
    <row r="683" spans="1:11" x14ac:dyDescent="0.25">
      <c r="A683" s="401"/>
      <c r="B683" s="401"/>
      <c r="C683" s="400" t="s">
        <v>673</v>
      </c>
      <c r="D683" s="401"/>
      <c r="E683" s="401" t="s">
        <v>137</v>
      </c>
      <c r="F683" s="402"/>
      <c r="G683" s="401"/>
      <c r="H683" s="401"/>
      <c r="I683" s="402"/>
      <c r="J683" s="401"/>
      <c r="K683" s="401"/>
    </row>
    <row r="684" spans="1:11" x14ac:dyDescent="0.25">
      <c r="A684" s="401"/>
      <c r="B684" s="401"/>
      <c r="C684" s="399"/>
      <c r="D684" s="395"/>
      <c r="E684" s="395" t="s">
        <v>667</v>
      </c>
      <c r="F684" s="396">
        <f>F678-F681</f>
        <v>44436318</v>
      </c>
      <c r="G684" s="401"/>
      <c r="H684" s="401"/>
      <c r="I684" s="396">
        <f>I678-I681</f>
        <v>44436318</v>
      </c>
      <c r="J684" s="401"/>
      <c r="K684" s="401"/>
    </row>
    <row r="685" spans="1:11" x14ac:dyDescent="0.25">
      <c r="A685" s="401"/>
      <c r="B685" s="401"/>
      <c r="C685" s="399"/>
      <c r="D685" s="395"/>
      <c r="E685" s="395" t="s">
        <v>25</v>
      </c>
      <c r="F685" s="396"/>
      <c r="G685" s="401"/>
      <c r="H685" s="401"/>
      <c r="I685" s="404">
        <f>I676+I684</f>
        <v>121038024</v>
      </c>
      <c r="J685" s="401"/>
      <c r="K685" s="401"/>
    </row>
    <row r="686" spans="1:11" ht="42" customHeight="1" x14ac:dyDescent="0.25">
      <c r="I686" s="397" t="s">
        <v>1030</v>
      </c>
    </row>
    <row r="687" spans="1:11" x14ac:dyDescent="0.25">
      <c r="I687" s="474" t="s">
        <v>635</v>
      </c>
    </row>
    <row r="688" spans="1:11" x14ac:dyDescent="0.25">
      <c r="I688" s="474"/>
    </row>
    <row r="689" spans="9:9" x14ac:dyDescent="0.25">
      <c r="I689" s="474"/>
    </row>
    <row r="690" spans="9:9" x14ac:dyDescent="0.25">
      <c r="I690" s="474"/>
    </row>
    <row r="691" spans="9:9" x14ac:dyDescent="0.25">
      <c r="I691" s="475" t="s">
        <v>1031</v>
      </c>
    </row>
  </sheetData>
  <mergeCells count="12">
    <mergeCell ref="D121:E121"/>
    <mergeCell ref="D146:E146"/>
    <mergeCell ref="D43:E43"/>
    <mergeCell ref="A1:K1"/>
    <mergeCell ref="A2:K2"/>
    <mergeCell ref="A4:A6"/>
    <mergeCell ref="B4:C6"/>
    <mergeCell ref="D4:E6"/>
    <mergeCell ref="K4:K6"/>
    <mergeCell ref="F4:F5"/>
    <mergeCell ref="I4:I5"/>
    <mergeCell ref="J4:J5"/>
  </mergeCells>
  <pageMargins left="0.70866141732283472" right="0.19685039370078741" top="0.59055118110236227" bottom="1.1417322834645669" header="0.31496062992125984" footer="0.31496062992125984"/>
  <pageSetup paperSize="5" scale="70"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1"/>
  <sheetViews>
    <sheetView tabSelected="1" topLeftCell="A658" workbookViewId="0">
      <selection activeCell="I686" sqref="I686:I691"/>
    </sheetView>
  </sheetViews>
  <sheetFormatPr defaultRowHeight="15" x14ac:dyDescent="0.25"/>
  <cols>
    <col min="1" max="1" width="4.85546875" style="397" customWidth="1"/>
    <col min="2" max="2" width="6.7109375" style="397" customWidth="1"/>
    <col min="3" max="3" width="7.28515625" style="397" customWidth="1"/>
    <col min="4" max="4" width="3" style="397" customWidth="1"/>
    <col min="5" max="5" width="52.28515625" style="397" customWidth="1"/>
    <col min="6" max="6" width="15.7109375" style="473" customWidth="1"/>
    <col min="7" max="7" width="15.28515625" style="397" hidden="1" customWidth="1"/>
    <col min="8" max="8" width="0.140625" style="397" hidden="1" customWidth="1"/>
    <col min="9" max="10" width="15.5703125" style="397" customWidth="1"/>
    <col min="11" max="11" width="9.140625" style="397"/>
  </cols>
  <sheetData>
    <row r="1" spans="1:11" ht="15.75" customHeight="1" x14ac:dyDescent="0.25">
      <c r="A1" s="552"/>
      <c r="B1" s="552"/>
      <c r="C1" s="552"/>
      <c r="D1" s="552"/>
      <c r="E1" s="552"/>
      <c r="F1" s="552" t="s">
        <v>638</v>
      </c>
      <c r="G1" s="552"/>
      <c r="H1" s="552"/>
      <c r="I1" s="552"/>
      <c r="J1" s="552"/>
      <c r="K1" s="552"/>
    </row>
    <row r="2" spans="1:11" ht="44.25" customHeight="1" x14ac:dyDescent="0.25">
      <c r="A2" s="553"/>
      <c r="B2" s="553"/>
      <c r="C2" s="553"/>
      <c r="D2" s="553"/>
      <c r="E2" s="553"/>
      <c r="F2" s="554" t="s">
        <v>1043</v>
      </c>
      <c r="G2" s="554"/>
      <c r="H2" s="554"/>
      <c r="I2" s="554"/>
      <c r="J2" s="554"/>
      <c r="K2" s="554"/>
    </row>
    <row r="3" spans="1:11" x14ac:dyDescent="0.25">
      <c r="A3" s="403"/>
      <c r="B3" s="403"/>
      <c r="C3" s="408"/>
      <c r="D3" s="403"/>
      <c r="E3" s="403"/>
      <c r="F3" s="403"/>
      <c r="G3" s="403"/>
      <c r="H3" s="403"/>
      <c r="I3" s="403"/>
      <c r="J3" s="403"/>
      <c r="K3" s="403"/>
    </row>
    <row r="4" spans="1:11" x14ac:dyDescent="0.25">
      <c r="A4" s="543" t="s">
        <v>279</v>
      </c>
      <c r="B4" s="544" t="s">
        <v>280</v>
      </c>
      <c r="C4" s="544"/>
      <c r="D4" s="545" t="s">
        <v>1028</v>
      </c>
      <c r="E4" s="545"/>
      <c r="F4" s="546" t="s">
        <v>1033</v>
      </c>
      <c r="G4" s="409" t="s">
        <v>281</v>
      </c>
      <c r="H4" s="409" t="s">
        <v>281</v>
      </c>
      <c r="I4" s="548" t="s">
        <v>1026</v>
      </c>
      <c r="J4" s="550" t="s">
        <v>1027</v>
      </c>
      <c r="K4" s="543" t="s">
        <v>282</v>
      </c>
    </row>
    <row r="5" spans="1:11" ht="25.5" customHeight="1" x14ac:dyDescent="0.25">
      <c r="A5" s="543"/>
      <c r="B5" s="544"/>
      <c r="C5" s="544"/>
      <c r="D5" s="545"/>
      <c r="E5" s="545"/>
      <c r="F5" s="547"/>
      <c r="G5" s="486" t="s">
        <v>283</v>
      </c>
      <c r="H5" s="410" t="s">
        <v>284</v>
      </c>
      <c r="I5" s="549"/>
      <c r="J5" s="551"/>
      <c r="K5" s="543"/>
    </row>
    <row r="6" spans="1:11" x14ac:dyDescent="0.25">
      <c r="A6" s="543"/>
      <c r="B6" s="544"/>
      <c r="C6" s="544"/>
      <c r="D6" s="545"/>
      <c r="E6" s="545"/>
      <c r="F6" s="412" t="s">
        <v>286</v>
      </c>
      <c r="G6" s="413" t="s">
        <v>286</v>
      </c>
      <c r="H6" s="412" t="s">
        <v>286</v>
      </c>
      <c r="I6" s="413" t="s">
        <v>286</v>
      </c>
      <c r="J6" s="412" t="s">
        <v>286</v>
      </c>
      <c r="K6" s="543"/>
    </row>
    <row r="7" spans="1:11" x14ac:dyDescent="0.25">
      <c r="A7" s="414"/>
      <c r="B7" s="414"/>
      <c r="C7" s="415">
        <v>4</v>
      </c>
      <c r="D7" s="416" t="s">
        <v>1</v>
      </c>
      <c r="E7" s="414"/>
      <c r="F7" s="417"/>
      <c r="G7" s="417"/>
      <c r="H7" s="417"/>
      <c r="I7" s="417"/>
      <c r="J7" s="417"/>
      <c r="K7" s="414"/>
    </row>
    <row r="8" spans="1:11" ht="14.25" customHeight="1" x14ac:dyDescent="0.25">
      <c r="A8" s="418"/>
      <c r="B8" s="418"/>
      <c r="C8" s="419" t="s">
        <v>287</v>
      </c>
      <c r="D8" s="418"/>
      <c r="E8" s="420" t="s">
        <v>2</v>
      </c>
      <c r="F8" s="421">
        <f>F9+F13</f>
        <v>70304900</v>
      </c>
      <c r="G8" s="421">
        <f>G9+G13</f>
        <v>25077500</v>
      </c>
      <c r="H8" s="421">
        <f>H9+H13</f>
        <v>44754900</v>
      </c>
      <c r="I8" s="421">
        <f>I9+I13</f>
        <v>69832400</v>
      </c>
      <c r="J8" s="421">
        <f>J9+J13</f>
        <v>472500</v>
      </c>
      <c r="K8" s="418"/>
    </row>
    <row r="9" spans="1:11" hidden="1" x14ac:dyDescent="0.25">
      <c r="A9" s="422"/>
      <c r="B9" s="422"/>
      <c r="C9" s="423" t="s">
        <v>288</v>
      </c>
      <c r="D9" s="422"/>
      <c r="E9" s="424" t="s">
        <v>289</v>
      </c>
      <c r="F9" s="425">
        <f>SUM(F10:F11)</f>
        <v>2500000</v>
      </c>
      <c r="G9" s="425">
        <f>SUM(G10:G11)</f>
        <v>2027500</v>
      </c>
      <c r="H9" s="425">
        <f>SUM(H10:H11)</f>
        <v>0</v>
      </c>
      <c r="I9" s="425">
        <f>SUM(I10:I11)</f>
        <v>2027500</v>
      </c>
      <c r="J9" s="425">
        <f>SUM(J10:J11)</f>
        <v>472500</v>
      </c>
      <c r="K9" s="422"/>
    </row>
    <row r="10" spans="1:11" hidden="1" x14ac:dyDescent="0.25">
      <c r="A10" s="426"/>
      <c r="B10" s="426"/>
      <c r="C10" s="427" t="s">
        <v>290</v>
      </c>
      <c r="D10" s="426"/>
      <c r="E10" s="428" t="s">
        <v>291</v>
      </c>
      <c r="F10" s="429">
        <v>1550000</v>
      </c>
      <c r="G10" s="429">
        <v>858500</v>
      </c>
      <c r="H10" s="429">
        <f>[2]Nov!I13</f>
        <v>0</v>
      </c>
      <c r="I10" s="429">
        <f>G10+H10</f>
        <v>858500</v>
      </c>
      <c r="J10" s="429">
        <f>F10-I10</f>
        <v>691500</v>
      </c>
      <c r="K10" s="426"/>
    </row>
    <row r="11" spans="1:11" hidden="1" x14ac:dyDescent="0.25">
      <c r="A11" s="426"/>
      <c r="B11" s="426"/>
      <c r="C11" s="427" t="s">
        <v>292</v>
      </c>
      <c r="D11" s="426"/>
      <c r="E11" s="428" t="s">
        <v>293</v>
      </c>
      <c r="F11" s="429">
        <v>950000</v>
      </c>
      <c r="G11" s="429">
        <v>1169000</v>
      </c>
      <c r="H11" s="429">
        <f>[2]Nov!I14</f>
        <v>0</v>
      </c>
      <c r="I11" s="429">
        <f>G11+H11</f>
        <v>1169000</v>
      </c>
      <c r="J11" s="429">
        <f>F11-I11</f>
        <v>-219000</v>
      </c>
      <c r="K11" s="426"/>
    </row>
    <row r="12" spans="1:11" hidden="1" x14ac:dyDescent="0.25">
      <c r="A12" s="426"/>
      <c r="B12" s="426"/>
      <c r="C12" s="427"/>
      <c r="D12" s="426"/>
      <c r="E12" s="428"/>
      <c r="F12" s="429"/>
      <c r="G12" s="429"/>
      <c r="H12" s="429"/>
      <c r="I12" s="429"/>
      <c r="J12" s="429"/>
      <c r="K12" s="426"/>
    </row>
    <row r="13" spans="1:11" ht="0.75" hidden="1" customHeight="1" x14ac:dyDescent="0.25">
      <c r="A13" s="422"/>
      <c r="B13" s="422"/>
      <c r="C13" s="423" t="s">
        <v>294</v>
      </c>
      <c r="D13" s="422"/>
      <c r="E13" s="424" t="s">
        <v>295</v>
      </c>
      <c r="F13" s="425">
        <f>SUM(F14:F16)</f>
        <v>67804900</v>
      </c>
      <c r="G13" s="425">
        <f>SUM(G14:G16)</f>
        <v>23050000</v>
      </c>
      <c r="H13" s="425">
        <f>SUM(H14:H16)</f>
        <v>44754900</v>
      </c>
      <c r="I13" s="425">
        <f>SUM(I14:I16)</f>
        <v>67804900</v>
      </c>
      <c r="J13" s="425">
        <f>SUM(J14:J16)</f>
        <v>0</v>
      </c>
      <c r="K13" s="422"/>
    </row>
    <row r="14" spans="1:11" hidden="1" x14ac:dyDescent="0.25">
      <c r="A14" s="426"/>
      <c r="B14" s="426"/>
      <c r="C14" s="427" t="s">
        <v>296</v>
      </c>
      <c r="D14" s="426"/>
      <c r="E14" s="428" t="s">
        <v>297</v>
      </c>
      <c r="F14" s="429">
        <v>46950000</v>
      </c>
      <c r="G14" s="429">
        <v>10050000</v>
      </c>
      <c r="H14" s="429">
        <f>[2]Nov!I17</f>
        <v>36900000</v>
      </c>
      <c r="I14" s="429">
        <f t="shared" ref="I14:I16" si="0">G14+H14</f>
        <v>46950000</v>
      </c>
      <c r="J14" s="429">
        <f t="shared" ref="J14:J16" si="1">F14-I14</f>
        <v>0</v>
      </c>
      <c r="K14" s="426"/>
    </row>
    <row r="15" spans="1:11" hidden="1" x14ac:dyDescent="0.25">
      <c r="A15" s="426"/>
      <c r="B15" s="426"/>
      <c r="C15" s="427" t="s">
        <v>298</v>
      </c>
      <c r="D15" s="426"/>
      <c r="E15" s="428" t="s">
        <v>299</v>
      </c>
      <c r="F15" s="429">
        <v>13000000</v>
      </c>
      <c r="G15" s="429">
        <v>13000000</v>
      </c>
      <c r="H15" s="429">
        <f>[2]Nov!I18</f>
        <v>0</v>
      </c>
      <c r="I15" s="429">
        <f t="shared" si="0"/>
        <v>13000000</v>
      </c>
      <c r="J15" s="429">
        <f t="shared" si="1"/>
        <v>0</v>
      </c>
      <c r="K15" s="426"/>
    </row>
    <row r="16" spans="1:11" hidden="1" x14ac:dyDescent="0.25">
      <c r="A16" s="426"/>
      <c r="B16" s="426"/>
      <c r="C16" s="427" t="s">
        <v>300</v>
      </c>
      <c r="D16" s="426"/>
      <c r="E16" s="428" t="s">
        <v>301</v>
      </c>
      <c r="F16" s="429">
        <v>7854900</v>
      </c>
      <c r="G16" s="429">
        <v>0</v>
      </c>
      <c r="H16" s="429">
        <f>[2]Nov!I19</f>
        <v>7854900</v>
      </c>
      <c r="I16" s="429">
        <f t="shared" si="0"/>
        <v>7854900</v>
      </c>
      <c r="J16" s="429">
        <f t="shared" si="1"/>
        <v>0</v>
      </c>
      <c r="K16" s="426"/>
    </row>
    <row r="17" spans="1:11" hidden="1" x14ac:dyDescent="0.25">
      <c r="A17" s="426"/>
      <c r="B17" s="426"/>
      <c r="C17" s="427"/>
      <c r="D17" s="426"/>
      <c r="E17" s="428"/>
      <c r="F17" s="429"/>
      <c r="G17" s="429"/>
      <c r="H17" s="429"/>
      <c r="I17" s="429"/>
      <c r="J17" s="429"/>
      <c r="K17" s="426"/>
    </row>
    <row r="18" spans="1:11" x14ac:dyDescent="0.25">
      <c r="A18" s="418"/>
      <c r="B18" s="418"/>
      <c r="C18" s="419" t="s">
        <v>302</v>
      </c>
      <c r="D18" s="418"/>
      <c r="E18" s="420" t="s">
        <v>3</v>
      </c>
      <c r="F18" s="421">
        <f>F19+F22+F25+F28</f>
        <v>1965168300</v>
      </c>
      <c r="G18" s="421">
        <f>G19+G22+G25+G28</f>
        <v>56039525</v>
      </c>
      <c r="H18" s="421">
        <f>H19+H22+H25+H28</f>
        <v>1685137950</v>
      </c>
      <c r="I18" s="421">
        <f>I19+I22+I25+I28</f>
        <v>1741177475</v>
      </c>
      <c r="J18" s="421">
        <f>J19+J22+J25+J28</f>
        <v>223990825</v>
      </c>
      <c r="K18" s="418"/>
    </row>
    <row r="19" spans="1:11" x14ac:dyDescent="0.25">
      <c r="A19" s="422"/>
      <c r="B19" s="422"/>
      <c r="C19" s="423" t="s">
        <v>303</v>
      </c>
      <c r="D19" s="422"/>
      <c r="E19" s="424" t="s">
        <v>4</v>
      </c>
      <c r="F19" s="425">
        <f>F20</f>
        <v>968086000</v>
      </c>
      <c r="G19" s="425">
        <f>G20</f>
        <v>0</v>
      </c>
      <c r="H19" s="425">
        <f>H20</f>
        <v>968086000</v>
      </c>
      <c r="I19" s="425">
        <f>I20</f>
        <v>968086000</v>
      </c>
      <c r="J19" s="425">
        <f>J20</f>
        <v>0</v>
      </c>
      <c r="K19" s="422"/>
    </row>
    <row r="20" spans="1:11" hidden="1" x14ac:dyDescent="0.25">
      <c r="A20" s="426"/>
      <c r="B20" s="426"/>
      <c r="C20" s="427" t="s">
        <v>304</v>
      </c>
      <c r="D20" s="426"/>
      <c r="E20" s="428" t="s">
        <v>4</v>
      </c>
      <c r="F20" s="429">
        <v>968086000</v>
      </c>
      <c r="G20" s="429">
        <v>0</v>
      </c>
      <c r="H20" s="429">
        <f>[2]Nov!I23</f>
        <v>968086000</v>
      </c>
      <c r="I20" s="429">
        <f>G20+H20</f>
        <v>968086000</v>
      </c>
      <c r="J20" s="429">
        <f>F20-I20</f>
        <v>0</v>
      </c>
      <c r="K20" s="426"/>
    </row>
    <row r="21" spans="1:11" hidden="1" x14ac:dyDescent="0.25">
      <c r="A21" s="426"/>
      <c r="B21" s="426"/>
      <c r="C21" s="427"/>
      <c r="D21" s="426"/>
      <c r="E21" s="428"/>
      <c r="F21" s="429"/>
      <c r="G21" s="429"/>
      <c r="H21" s="429"/>
      <c r="I21" s="429"/>
      <c r="J21" s="429"/>
      <c r="K21" s="426"/>
    </row>
    <row r="22" spans="1:11" x14ac:dyDescent="0.25">
      <c r="A22" s="422"/>
      <c r="B22" s="422"/>
      <c r="C22" s="423" t="s">
        <v>305</v>
      </c>
      <c r="D22" s="422"/>
      <c r="E22" s="424" t="s">
        <v>306</v>
      </c>
      <c r="F22" s="425">
        <f>F23</f>
        <v>34382300</v>
      </c>
      <c r="G22" s="425">
        <f>G23</f>
        <v>0</v>
      </c>
      <c r="H22" s="425">
        <f>H23</f>
        <v>48582800</v>
      </c>
      <c r="I22" s="425">
        <f>I23</f>
        <v>48582800</v>
      </c>
      <c r="J22" s="425">
        <f>J23</f>
        <v>-14200500</v>
      </c>
      <c r="K22" s="422"/>
    </row>
    <row r="23" spans="1:11" hidden="1" x14ac:dyDescent="0.25">
      <c r="A23" s="426"/>
      <c r="B23" s="426"/>
      <c r="C23" s="427" t="s">
        <v>307</v>
      </c>
      <c r="D23" s="426"/>
      <c r="E23" s="428" t="s">
        <v>308</v>
      </c>
      <c r="F23" s="429">
        <v>34382300</v>
      </c>
      <c r="G23" s="429">
        <v>0</v>
      </c>
      <c r="H23" s="429">
        <f>[2]Nov!I26</f>
        <v>48582800</v>
      </c>
      <c r="I23" s="429">
        <f>G23+H23</f>
        <v>48582800</v>
      </c>
      <c r="J23" s="429">
        <f>F23-I23</f>
        <v>-14200500</v>
      </c>
      <c r="K23" s="426"/>
    </row>
    <row r="24" spans="1:11" hidden="1" x14ac:dyDescent="0.25">
      <c r="A24" s="426"/>
      <c r="B24" s="426"/>
      <c r="C24" s="427"/>
      <c r="D24" s="426"/>
      <c r="E24" s="428"/>
      <c r="F24" s="429"/>
      <c r="G24" s="429"/>
      <c r="H24" s="429"/>
      <c r="I24" s="429"/>
      <c r="J24" s="429"/>
      <c r="K24" s="426"/>
    </row>
    <row r="25" spans="1:11" x14ac:dyDescent="0.25">
      <c r="A25" s="422"/>
      <c r="B25" s="422"/>
      <c r="C25" s="423" t="s">
        <v>309</v>
      </c>
      <c r="D25" s="422"/>
      <c r="E25" s="424" t="s">
        <v>6</v>
      </c>
      <c r="F25" s="425">
        <f>F26</f>
        <v>727200000</v>
      </c>
      <c r="G25" s="425">
        <f>G26</f>
        <v>56039525</v>
      </c>
      <c r="H25" s="425">
        <f>H26</f>
        <v>668469150</v>
      </c>
      <c r="I25" s="425">
        <f>I26</f>
        <v>724508675</v>
      </c>
      <c r="J25" s="425">
        <f>J26</f>
        <v>2691325</v>
      </c>
      <c r="K25" s="422"/>
    </row>
    <row r="26" spans="1:11" hidden="1" x14ac:dyDescent="0.25">
      <c r="A26" s="426"/>
      <c r="B26" s="426"/>
      <c r="C26" s="427" t="s">
        <v>310</v>
      </c>
      <c r="D26" s="426"/>
      <c r="E26" s="428" t="s">
        <v>6</v>
      </c>
      <c r="F26" s="429">
        <v>727200000</v>
      </c>
      <c r="G26" s="429">
        <v>56039525</v>
      </c>
      <c r="H26" s="429">
        <f>[2]Nov!I29</f>
        <v>668469150</v>
      </c>
      <c r="I26" s="429">
        <f>G26+H26</f>
        <v>724508675</v>
      </c>
      <c r="J26" s="429">
        <f>F26-I26</f>
        <v>2691325</v>
      </c>
      <c r="K26" s="426"/>
    </row>
    <row r="27" spans="1:11" hidden="1" x14ac:dyDescent="0.25">
      <c r="A27" s="426"/>
      <c r="B27" s="426"/>
      <c r="C27" s="427"/>
      <c r="D27" s="426"/>
      <c r="E27" s="428"/>
      <c r="F27" s="429"/>
      <c r="G27" s="429"/>
      <c r="H27" s="429"/>
      <c r="I27" s="429"/>
      <c r="J27" s="429"/>
      <c r="K27" s="426"/>
    </row>
    <row r="28" spans="1:11" x14ac:dyDescent="0.25">
      <c r="A28" s="422"/>
      <c r="B28" s="422"/>
      <c r="C28" s="423" t="s">
        <v>311</v>
      </c>
      <c r="D28" s="422"/>
      <c r="E28" s="424" t="s">
        <v>312</v>
      </c>
      <c r="F28" s="425">
        <f>F29</f>
        <v>235500000</v>
      </c>
      <c r="G28" s="425">
        <f>G29</f>
        <v>0</v>
      </c>
      <c r="H28" s="425">
        <f>H29</f>
        <v>0</v>
      </c>
      <c r="I28" s="425">
        <f>I29</f>
        <v>0</v>
      </c>
      <c r="J28" s="425">
        <f>J29</f>
        <v>235500000</v>
      </c>
      <c r="K28" s="422"/>
    </row>
    <row r="29" spans="1:11" hidden="1" x14ac:dyDescent="0.25">
      <c r="A29" s="426"/>
      <c r="B29" s="426"/>
      <c r="C29" s="427" t="s">
        <v>313</v>
      </c>
      <c r="D29" s="426"/>
      <c r="E29" s="428" t="s">
        <v>314</v>
      </c>
      <c r="F29" s="429">
        <v>235500000</v>
      </c>
      <c r="G29" s="429">
        <v>0</v>
      </c>
      <c r="H29" s="429">
        <f>[2]Nov!I32</f>
        <v>0</v>
      </c>
      <c r="I29" s="429">
        <f>G29+H29</f>
        <v>0</v>
      </c>
      <c r="J29" s="429">
        <f>F29-I29</f>
        <v>235500000</v>
      </c>
      <c r="K29" s="426"/>
    </row>
    <row r="30" spans="1:11" hidden="1" x14ac:dyDescent="0.25">
      <c r="A30" s="426"/>
      <c r="B30" s="426"/>
      <c r="C30" s="427"/>
      <c r="D30" s="426"/>
      <c r="E30" s="428"/>
      <c r="F30" s="429"/>
      <c r="G30" s="429"/>
      <c r="H30" s="429"/>
      <c r="I30" s="429"/>
      <c r="J30" s="429"/>
      <c r="K30" s="426"/>
    </row>
    <row r="31" spans="1:11" ht="12.75" customHeight="1" x14ac:dyDescent="0.25">
      <c r="A31" s="418"/>
      <c r="B31" s="418"/>
      <c r="C31" s="419" t="s">
        <v>315</v>
      </c>
      <c r="D31" s="418"/>
      <c r="E31" s="420" t="s">
        <v>316</v>
      </c>
      <c r="F31" s="421">
        <f>F32+F35+F38</f>
        <v>30015000</v>
      </c>
      <c r="G31" s="421">
        <f>G32+G35+G38</f>
        <v>28182491</v>
      </c>
      <c r="H31" s="421">
        <f>H32+H35+H38</f>
        <v>1664093</v>
      </c>
      <c r="I31" s="421">
        <f>I32+I35+I38</f>
        <v>29846584</v>
      </c>
      <c r="J31" s="421">
        <f>J32+J35+J38</f>
        <v>168416</v>
      </c>
      <c r="K31" s="418"/>
    </row>
    <row r="32" spans="1:11" hidden="1" x14ac:dyDescent="0.25">
      <c r="A32" s="422"/>
      <c r="B32" s="422"/>
      <c r="C32" s="423" t="s">
        <v>317</v>
      </c>
      <c r="D32" s="422"/>
      <c r="E32" s="424" t="s">
        <v>318</v>
      </c>
      <c r="F32" s="425">
        <f>F33</f>
        <v>13015000</v>
      </c>
      <c r="G32" s="425">
        <f>G33</f>
        <v>13015000</v>
      </c>
      <c r="H32" s="425">
        <f>H33</f>
        <v>0</v>
      </c>
      <c r="I32" s="425">
        <f>I33</f>
        <v>13015000</v>
      </c>
      <c r="J32" s="425">
        <f>J33</f>
        <v>0</v>
      </c>
      <c r="K32" s="422"/>
    </row>
    <row r="33" spans="1:11" hidden="1" x14ac:dyDescent="0.25">
      <c r="A33" s="426"/>
      <c r="B33" s="426"/>
      <c r="C33" s="427" t="s">
        <v>319</v>
      </c>
      <c r="D33" s="426"/>
      <c r="E33" s="428" t="s">
        <v>318</v>
      </c>
      <c r="F33" s="429">
        <v>13015000</v>
      </c>
      <c r="G33" s="429">
        <v>13015000</v>
      </c>
      <c r="H33" s="429">
        <f>[2]Nov!I36</f>
        <v>0</v>
      </c>
      <c r="I33" s="429">
        <f>G33+H33</f>
        <v>13015000</v>
      </c>
      <c r="J33" s="429">
        <f>F33-I33</f>
        <v>0</v>
      </c>
      <c r="K33" s="426"/>
    </row>
    <row r="34" spans="1:11" hidden="1" x14ac:dyDescent="0.25">
      <c r="A34" s="426"/>
      <c r="B34" s="426"/>
      <c r="C34" s="427"/>
      <c r="D34" s="426"/>
      <c r="E34" s="428"/>
      <c r="F34" s="429"/>
      <c r="G34" s="429"/>
      <c r="H34" s="429"/>
      <c r="I34" s="429"/>
      <c r="J34" s="429"/>
      <c r="K34" s="426"/>
    </row>
    <row r="35" spans="1:11" ht="0.75" hidden="1" customHeight="1" x14ac:dyDescent="0.25">
      <c r="A35" s="422"/>
      <c r="B35" s="422"/>
      <c r="C35" s="423" t="s">
        <v>320</v>
      </c>
      <c r="D35" s="422"/>
      <c r="E35" s="424" t="s">
        <v>141</v>
      </c>
      <c r="F35" s="425">
        <f>F36</f>
        <v>3000000</v>
      </c>
      <c r="G35" s="425">
        <f>G36</f>
        <v>77150</v>
      </c>
      <c r="H35" s="425">
        <f>H36</f>
        <v>1664093</v>
      </c>
      <c r="I35" s="425">
        <f>I36</f>
        <v>1741243</v>
      </c>
      <c r="J35" s="425">
        <f>J36</f>
        <v>1258757</v>
      </c>
      <c r="K35" s="422"/>
    </row>
    <row r="36" spans="1:11" hidden="1" x14ac:dyDescent="0.25">
      <c r="A36" s="426"/>
      <c r="B36" s="426"/>
      <c r="C36" s="427" t="s">
        <v>321</v>
      </c>
      <c r="D36" s="426"/>
      <c r="E36" s="428" t="s">
        <v>141</v>
      </c>
      <c r="F36" s="429">
        <v>3000000</v>
      </c>
      <c r="G36" s="429">
        <f>104563-6500-20913</f>
        <v>77150</v>
      </c>
      <c r="H36" s="429">
        <f>[2]Nov!I39</f>
        <v>1664093</v>
      </c>
      <c r="I36" s="429">
        <f>G36+H36</f>
        <v>1741243</v>
      </c>
      <c r="J36" s="429">
        <f>F36-I36</f>
        <v>1258757</v>
      </c>
      <c r="K36" s="426"/>
    </row>
    <row r="37" spans="1:11" hidden="1" x14ac:dyDescent="0.25">
      <c r="A37" s="426"/>
      <c r="B37" s="426"/>
      <c r="C37" s="427"/>
      <c r="D37" s="426"/>
      <c r="E37" s="428"/>
      <c r="F37" s="429"/>
      <c r="G37" s="429"/>
      <c r="H37" s="429"/>
      <c r="I37" s="429"/>
      <c r="J37" s="429"/>
      <c r="K37" s="426"/>
    </row>
    <row r="38" spans="1:11" hidden="1" x14ac:dyDescent="0.25">
      <c r="A38" s="422"/>
      <c r="B38" s="422"/>
      <c r="C38" s="423" t="s">
        <v>322</v>
      </c>
      <c r="D38" s="422"/>
      <c r="E38" s="424" t="s">
        <v>323</v>
      </c>
      <c r="F38" s="425">
        <f>F39</f>
        <v>14000000</v>
      </c>
      <c r="G38" s="425">
        <f>G39</f>
        <v>15090341</v>
      </c>
      <c r="H38" s="425">
        <f>H39</f>
        <v>0</v>
      </c>
      <c r="I38" s="425">
        <f>I39</f>
        <v>15090341</v>
      </c>
      <c r="J38" s="425">
        <f>J39</f>
        <v>-1090341</v>
      </c>
      <c r="K38" s="422"/>
    </row>
    <row r="39" spans="1:11" hidden="1" x14ac:dyDescent="0.25">
      <c r="A39" s="426"/>
      <c r="B39" s="426"/>
      <c r="C39" s="427" t="s">
        <v>324</v>
      </c>
      <c r="D39" s="426"/>
      <c r="E39" s="428" t="s">
        <v>325</v>
      </c>
      <c r="F39" s="429">
        <v>14000000</v>
      </c>
      <c r="G39" s="429">
        <v>15090341</v>
      </c>
      <c r="H39" s="429">
        <f>[2]Nov!I42</f>
        <v>0</v>
      </c>
      <c r="I39" s="429">
        <f>G39+H39</f>
        <v>15090341</v>
      </c>
      <c r="J39" s="429">
        <f>F39-I39</f>
        <v>-1090341</v>
      </c>
      <c r="K39" s="426"/>
    </row>
    <row r="40" spans="1:11" x14ac:dyDescent="0.25">
      <c r="A40" s="430"/>
      <c r="B40" s="430"/>
      <c r="C40" s="431"/>
      <c r="D40" s="430"/>
      <c r="E40" s="432" t="s">
        <v>10</v>
      </c>
      <c r="F40" s="433">
        <f>F8+F18+F31</f>
        <v>2065488200</v>
      </c>
      <c r="G40" s="433">
        <f>G8+G18+G31</f>
        <v>109299516</v>
      </c>
      <c r="H40" s="433">
        <f>H8+H18+H31</f>
        <v>1731556943</v>
      </c>
      <c r="I40" s="433">
        <f>I8+I18+I31</f>
        <v>1840856459</v>
      </c>
      <c r="J40" s="433">
        <f>J8+J18+J31</f>
        <v>224631741</v>
      </c>
      <c r="K40" s="430"/>
    </row>
    <row r="41" spans="1:11" x14ac:dyDescent="0.25">
      <c r="A41" s="434"/>
      <c r="B41" s="434"/>
      <c r="C41" s="435">
        <v>5</v>
      </c>
      <c r="D41" s="416" t="s">
        <v>14</v>
      </c>
      <c r="E41" s="434"/>
      <c r="F41" s="436"/>
      <c r="G41" s="436"/>
      <c r="H41" s="436"/>
      <c r="I41" s="436"/>
      <c r="J41" s="436"/>
      <c r="K41" s="434"/>
    </row>
    <row r="42" spans="1:11" x14ac:dyDescent="0.25">
      <c r="A42" s="437"/>
      <c r="B42" s="419">
        <v>1</v>
      </c>
      <c r="C42" s="438"/>
      <c r="D42" s="420" t="s">
        <v>327</v>
      </c>
      <c r="E42" s="418"/>
      <c r="F42" s="421">
        <f>F43+F105+F121+F146+F218</f>
        <v>870258856</v>
      </c>
      <c r="G42" s="421">
        <f>G43+G105+G121+G146+G218</f>
        <v>113353621</v>
      </c>
      <c r="H42" s="421">
        <f>H43+H105+H121+H146+H218</f>
        <v>743058282</v>
      </c>
      <c r="I42" s="421">
        <f>I43+I105+I121+I146+I218</f>
        <v>856411903</v>
      </c>
      <c r="J42" s="421">
        <f>J43+J105+J121+J146+J218</f>
        <v>13846953</v>
      </c>
      <c r="K42" s="418"/>
    </row>
    <row r="43" spans="1:11" x14ac:dyDescent="0.25">
      <c r="A43" s="439"/>
      <c r="B43" s="419" t="s">
        <v>328</v>
      </c>
      <c r="C43" s="439"/>
      <c r="D43" s="540" t="s">
        <v>329</v>
      </c>
      <c r="E43" s="540"/>
      <c r="F43" s="421">
        <f>F44+F50+F56+F64+F82+F88+F98</f>
        <v>701757940</v>
      </c>
      <c r="G43" s="421">
        <f>G44+G50+G56+G64+G82+G88+G98</f>
        <v>58386321</v>
      </c>
      <c r="H43" s="421">
        <f>H44+H50+H56+H64+H82+H88+H98</f>
        <v>635188458</v>
      </c>
      <c r="I43" s="421">
        <f>I44+I50+I56+I64+I82+I88+I98</f>
        <v>693574779</v>
      </c>
      <c r="J43" s="421">
        <f>J44+J50+J56+J64+J82+J88+J98</f>
        <v>8183161</v>
      </c>
      <c r="K43" s="426"/>
    </row>
    <row r="44" spans="1:11" ht="13.5" customHeight="1" x14ac:dyDescent="0.25">
      <c r="A44" s="439"/>
      <c r="B44" s="419" t="s">
        <v>330</v>
      </c>
      <c r="C44" s="439"/>
      <c r="D44" s="426"/>
      <c r="E44" s="420" t="s">
        <v>331</v>
      </c>
      <c r="F44" s="421">
        <f t="shared" ref="F44:J45" si="2">F45</f>
        <v>39000000</v>
      </c>
      <c r="G44" s="421">
        <f t="shared" si="2"/>
        <v>2970000</v>
      </c>
      <c r="H44" s="421">
        <f t="shared" si="2"/>
        <v>35820000</v>
      </c>
      <c r="I44" s="421">
        <f t="shared" si="2"/>
        <v>38790000</v>
      </c>
      <c r="J44" s="421">
        <f t="shared" si="2"/>
        <v>210000</v>
      </c>
      <c r="K44" s="426"/>
    </row>
    <row r="45" spans="1:11" ht="0.75" hidden="1" customHeight="1" x14ac:dyDescent="0.25">
      <c r="A45" s="438"/>
      <c r="B45" s="419" t="s">
        <v>330</v>
      </c>
      <c r="C45" s="419" t="s">
        <v>332</v>
      </c>
      <c r="D45" s="418"/>
      <c r="E45" s="420" t="s">
        <v>66</v>
      </c>
      <c r="F45" s="421">
        <f t="shared" si="2"/>
        <v>39000000</v>
      </c>
      <c r="G45" s="421">
        <f t="shared" si="2"/>
        <v>2970000</v>
      </c>
      <c r="H45" s="421">
        <f t="shared" si="2"/>
        <v>35820000</v>
      </c>
      <c r="I45" s="421">
        <f t="shared" si="2"/>
        <v>38790000</v>
      </c>
      <c r="J45" s="421">
        <f t="shared" si="2"/>
        <v>210000</v>
      </c>
      <c r="K45" s="418"/>
    </row>
    <row r="46" spans="1:11" hidden="1" x14ac:dyDescent="0.25">
      <c r="A46" s="440"/>
      <c r="B46" s="423" t="s">
        <v>330</v>
      </c>
      <c r="C46" s="423" t="s">
        <v>333</v>
      </c>
      <c r="D46" s="422"/>
      <c r="E46" s="424" t="s">
        <v>144</v>
      </c>
      <c r="F46" s="425">
        <f>SUM(F47:F48)</f>
        <v>39000000</v>
      </c>
      <c r="G46" s="425">
        <f>SUM(G47:G48)</f>
        <v>2970000</v>
      </c>
      <c r="H46" s="425">
        <f>SUM(H47:H48)</f>
        <v>35820000</v>
      </c>
      <c r="I46" s="425">
        <f>SUM(I47:I48)</f>
        <v>38790000</v>
      </c>
      <c r="J46" s="425">
        <f>SUM(J47:J48)</f>
        <v>210000</v>
      </c>
      <c r="K46" s="422"/>
    </row>
    <row r="47" spans="1:11" hidden="1" x14ac:dyDescent="0.25">
      <c r="A47" s="439"/>
      <c r="B47" s="427" t="s">
        <v>330</v>
      </c>
      <c r="C47" s="427" t="s">
        <v>334</v>
      </c>
      <c r="D47" s="426"/>
      <c r="E47" s="428" t="s">
        <v>335</v>
      </c>
      <c r="F47" s="429">
        <v>36000000</v>
      </c>
      <c r="G47" s="429">
        <v>2970000</v>
      </c>
      <c r="H47" s="429">
        <f>[2]Nov!I53</f>
        <v>32820000</v>
      </c>
      <c r="I47" s="429">
        <f>G47+H47</f>
        <v>35790000</v>
      </c>
      <c r="J47" s="429">
        <f>F47-I47</f>
        <v>210000</v>
      </c>
      <c r="K47" s="426"/>
    </row>
    <row r="48" spans="1:11" hidden="1" x14ac:dyDescent="0.25">
      <c r="A48" s="439"/>
      <c r="B48" s="427" t="s">
        <v>330</v>
      </c>
      <c r="C48" s="427" t="s">
        <v>336</v>
      </c>
      <c r="D48" s="426"/>
      <c r="E48" s="428" t="s">
        <v>337</v>
      </c>
      <c r="F48" s="429">
        <v>3000000</v>
      </c>
      <c r="G48" s="429">
        <v>0</v>
      </c>
      <c r="H48" s="429">
        <f>[2]Nov!I54</f>
        <v>3000000</v>
      </c>
      <c r="I48" s="429">
        <f>G48+H48</f>
        <v>3000000</v>
      </c>
      <c r="J48" s="429">
        <f>F48-I48</f>
        <v>0</v>
      </c>
      <c r="K48" s="426"/>
    </row>
    <row r="49" spans="1:11" hidden="1" x14ac:dyDescent="0.25">
      <c r="A49" s="439"/>
      <c r="B49" s="427"/>
      <c r="C49" s="427"/>
      <c r="D49" s="426"/>
      <c r="E49" s="428"/>
      <c r="F49" s="429"/>
      <c r="G49" s="429"/>
      <c r="H49" s="429"/>
      <c r="I49" s="429"/>
      <c r="J49" s="429"/>
      <c r="K49" s="426"/>
    </row>
    <row r="50" spans="1:11" ht="14.25" customHeight="1" x14ac:dyDescent="0.25">
      <c r="A50" s="439"/>
      <c r="B50" s="419" t="s">
        <v>338</v>
      </c>
      <c r="C50" s="439"/>
      <c r="D50" s="426"/>
      <c r="E50" s="420" t="s">
        <v>339</v>
      </c>
      <c r="F50" s="421">
        <f t="shared" ref="F50:J51" si="3">F51</f>
        <v>523562500</v>
      </c>
      <c r="G50" s="421">
        <f t="shared" si="3"/>
        <v>38503025</v>
      </c>
      <c r="H50" s="421">
        <f t="shared" si="3"/>
        <v>482578150</v>
      </c>
      <c r="I50" s="421">
        <f t="shared" si="3"/>
        <v>521081175</v>
      </c>
      <c r="J50" s="421">
        <f t="shared" si="3"/>
        <v>2481325</v>
      </c>
      <c r="K50" s="426"/>
    </row>
    <row r="51" spans="1:11" ht="0.75" hidden="1" customHeight="1" x14ac:dyDescent="0.25">
      <c r="A51" s="438"/>
      <c r="B51" s="419" t="s">
        <v>338</v>
      </c>
      <c r="C51" s="419" t="s">
        <v>332</v>
      </c>
      <c r="D51" s="418"/>
      <c r="E51" s="420" t="s">
        <v>66</v>
      </c>
      <c r="F51" s="421">
        <f t="shared" si="3"/>
        <v>523562500</v>
      </c>
      <c r="G51" s="421">
        <f t="shared" si="3"/>
        <v>38503025</v>
      </c>
      <c r="H51" s="421">
        <f t="shared" si="3"/>
        <v>482578150</v>
      </c>
      <c r="I51" s="421">
        <f t="shared" si="3"/>
        <v>521081175</v>
      </c>
      <c r="J51" s="421">
        <f t="shared" si="3"/>
        <v>2481325</v>
      </c>
      <c r="K51" s="418"/>
    </row>
    <row r="52" spans="1:11" hidden="1" x14ac:dyDescent="0.25">
      <c r="A52" s="440"/>
      <c r="B52" s="423" t="s">
        <v>338</v>
      </c>
      <c r="C52" s="423" t="s">
        <v>340</v>
      </c>
      <c r="D52" s="422"/>
      <c r="E52" s="424" t="s">
        <v>143</v>
      </c>
      <c r="F52" s="425">
        <f>SUM(F53:F54)</f>
        <v>523562500</v>
      </c>
      <c r="G52" s="425">
        <f>SUM(G53:G54)</f>
        <v>38503025</v>
      </c>
      <c r="H52" s="425">
        <f>SUM(H53:H54)</f>
        <v>482578150</v>
      </c>
      <c r="I52" s="425">
        <f>SUM(I53:I54)</f>
        <v>521081175</v>
      </c>
      <c r="J52" s="425">
        <f>SUM(J53:J54)</f>
        <v>2481325</v>
      </c>
      <c r="K52" s="422"/>
    </row>
    <row r="53" spans="1:11" hidden="1" x14ac:dyDescent="0.25">
      <c r="A53" s="439"/>
      <c r="B53" s="427" t="s">
        <v>338</v>
      </c>
      <c r="C53" s="427" t="s">
        <v>341</v>
      </c>
      <c r="D53" s="426"/>
      <c r="E53" s="428" t="s">
        <v>342</v>
      </c>
      <c r="F53" s="429">
        <v>483000000</v>
      </c>
      <c r="G53" s="429">
        <v>38503025</v>
      </c>
      <c r="H53" s="429">
        <f>[2]Nov!I59</f>
        <v>442015650</v>
      </c>
      <c r="I53" s="429">
        <f t="shared" ref="I53:I54" si="4">G53+H53</f>
        <v>480518675</v>
      </c>
      <c r="J53" s="429">
        <f t="shared" ref="J53:J54" si="5">F53-I53</f>
        <v>2481325</v>
      </c>
      <c r="K53" s="426"/>
    </row>
    <row r="54" spans="1:11" hidden="1" x14ac:dyDescent="0.25">
      <c r="A54" s="439"/>
      <c r="B54" s="427" t="s">
        <v>338</v>
      </c>
      <c r="C54" s="427" t="s">
        <v>343</v>
      </c>
      <c r="D54" s="426"/>
      <c r="E54" s="428" t="s">
        <v>344</v>
      </c>
      <c r="F54" s="429">
        <v>40562500</v>
      </c>
      <c r="G54" s="429">
        <v>0</v>
      </c>
      <c r="H54" s="429">
        <f>[2]Nov!I60</f>
        <v>40562500</v>
      </c>
      <c r="I54" s="429">
        <f t="shared" si="4"/>
        <v>40562500</v>
      </c>
      <c r="J54" s="429">
        <f t="shared" si="5"/>
        <v>0</v>
      </c>
      <c r="K54" s="426"/>
    </row>
    <row r="55" spans="1:11" hidden="1" x14ac:dyDescent="0.25">
      <c r="A55" s="439"/>
      <c r="B55" s="427"/>
      <c r="C55" s="427"/>
      <c r="D55" s="426"/>
      <c r="E55" s="428"/>
      <c r="F55" s="429"/>
      <c r="G55" s="429"/>
      <c r="H55" s="429"/>
      <c r="I55" s="429"/>
      <c r="J55" s="429"/>
      <c r="K55" s="426"/>
    </row>
    <row r="56" spans="1:11" ht="14.25" customHeight="1" x14ac:dyDescent="0.25">
      <c r="A56" s="439"/>
      <c r="B56" s="419" t="s">
        <v>345</v>
      </c>
      <c r="C56" s="439"/>
      <c r="D56" s="426"/>
      <c r="E56" s="420" t="s">
        <v>346</v>
      </c>
      <c r="F56" s="421">
        <f t="shared" ref="F56:J57" si="6">F57</f>
        <v>42380300</v>
      </c>
      <c r="G56" s="421">
        <f t="shared" si="6"/>
        <v>2490436</v>
      </c>
      <c r="H56" s="421">
        <f t="shared" si="6"/>
        <v>37988508</v>
      </c>
      <c r="I56" s="421">
        <f t="shared" si="6"/>
        <v>40478944</v>
      </c>
      <c r="J56" s="421">
        <f t="shared" si="6"/>
        <v>1901356</v>
      </c>
      <c r="K56" s="426"/>
    </row>
    <row r="57" spans="1:11" ht="0.75" hidden="1" customHeight="1" x14ac:dyDescent="0.25">
      <c r="A57" s="438"/>
      <c r="B57" s="419" t="s">
        <v>345</v>
      </c>
      <c r="C57" s="419" t="s">
        <v>332</v>
      </c>
      <c r="D57" s="418"/>
      <c r="E57" s="420" t="s">
        <v>66</v>
      </c>
      <c r="F57" s="421">
        <f t="shared" si="6"/>
        <v>42380300</v>
      </c>
      <c r="G57" s="421">
        <f t="shared" si="6"/>
        <v>2490436</v>
      </c>
      <c r="H57" s="421">
        <f t="shared" si="6"/>
        <v>37988508</v>
      </c>
      <c r="I57" s="421">
        <f t="shared" si="6"/>
        <v>40478944</v>
      </c>
      <c r="J57" s="421">
        <f t="shared" si="6"/>
        <v>1901356</v>
      </c>
      <c r="K57" s="418"/>
    </row>
    <row r="58" spans="1:11" hidden="1" x14ac:dyDescent="0.25">
      <c r="A58" s="440"/>
      <c r="B58" s="423" t="s">
        <v>345</v>
      </c>
      <c r="C58" s="423" t="s">
        <v>347</v>
      </c>
      <c r="D58" s="422"/>
      <c r="E58" s="424" t="s">
        <v>348</v>
      </c>
      <c r="F58" s="425">
        <f>SUM(F59:F62)</f>
        <v>42380300</v>
      </c>
      <c r="G58" s="425">
        <f>SUM(G59:G62)</f>
        <v>2490436</v>
      </c>
      <c r="H58" s="425">
        <f>SUM(H59:H62)</f>
        <v>37988508</v>
      </c>
      <c r="I58" s="425">
        <f>SUM(I59:I62)</f>
        <v>40478944</v>
      </c>
      <c r="J58" s="425">
        <f>SUM(J59:J62)</f>
        <v>1901356</v>
      </c>
      <c r="K58" s="422"/>
    </row>
    <row r="59" spans="1:11" hidden="1" x14ac:dyDescent="0.25">
      <c r="A59" s="439"/>
      <c r="B59" s="427" t="s">
        <v>345</v>
      </c>
      <c r="C59" s="427" t="s">
        <v>349</v>
      </c>
      <c r="D59" s="426"/>
      <c r="E59" s="428" t="s">
        <v>350</v>
      </c>
      <c r="F59" s="429">
        <v>600000</v>
      </c>
      <c r="G59" s="429">
        <v>0</v>
      </c>
      <c r="H59" s="429">
        <f>[2]Nov!I65</f>
        <v>560900</v>
      </c>
      <c r="I59" s="429">
        <f t="shared" ref="I59:I62" si="7">G59+H59</f>
        <v>560900</v>
      </c>
      <c r="J59" s="429">
        <f t="shared" ref="J59:J62" si="8">F59-I59</f>
        <v>39100</v>
      </c>
      <c r="K59" s="426"/>
    </row>
    <row r="60" spans="1:11" hidden="1" x14ac:dyDescent="0.25">
      <c r="A60" s="439"/>
      <c r="B60" s="427" t="s">
        <v>345</v>
      </c>
      <c r="C60" s="427" t="s">
        <v>351</v>
      </c>
      <c r="D60" s="426"/>
      <c r="E60" s="428" t="s">
        <v>352</v>
      </c>
      <c r="F60" s="429">
        <v>9394700</v>
      </c>
      <c r="G60" s="429">
        <v>136400</v>
      </c>
      <c r="H60" s="429">
        <f>[2]Nov!I66</f>
        <v>9258300</v>
      </c>
      <c r="I60" s="429">
        <f t="shared" si="7"/>
        <v>9394700</v>
      </c>
      <c r="J60" s="429">
        <f t="shared" si="8"/>
        <v>0</v>
      </c>
      <c r="K60" s="426"/>
    </row>
    <row r="61" spans="1:11" hidden="1" x14ac:dyDescent="0.25">
      <c r="A61" s="439"/>
      <c r="B61" s="427" t="s">
        <v>345</v>
      </c>
      <c r="C61" s="427" t="s">
        <v>353</v>
      </c>
      <c r="D61" s="426"/>
      <c r="E61" s="428" t="s">
        <v>354</v>
      </c>
      <c r="F61" s="429">
        <v>2246400</v>
      </c>
      <c r="G61" s="429">
        <v>171162</v>
      </c>
      <c r="H61" s="429">
        <f>[2]Nov!I67</f>
        <v>1995048</v>
      </c>
      <c r="I61" s="429">
        <f t="shared" si="7"/>
        <v>2166210</v>
      </c>
      <c r="J61" s="429">
        <f t="shared" si="8"/>
        <v>80190</v>
      </c>
      <c r="K61" s="426"/>
    </row>
    <row r="62" spans="1:11" hidden="1" x14ac:dyDescent="0.25">
      <c r="A62" s="439"/>
      <c r="B62" s="427" t="s">
        <v>345</v>
      </c>
      <c r="C62" s="427" t="s">
        <v>355</v>
      </c>
      <c r="D62" s="426"/>
      <c r="E62" s="428" t="s">
        <v>356</v>
      </c>
      <c r="F62" s="429">
        <v>30139200</v>
      </c>
      <c r="G62" s="429">
        <v>2182874</v>
      </c>
      <c r="H62" s="429">
        <f>[2]Nov!I68</f>
        <v>26174260</v>
      </c>
      <c r="I62" s="429">
        <f t="shared" si="7"/>
        <v>28357134</v>
      </c>
      <c r="J62" s="429">
        <f t="shared" si="8"/>
        <v>1782066</v>
      </c>
      <c r="K62" s="426"/>
    </row>
    <row r="63" spans="1:11" hidden="1" x14ac:dyDescent="0.25">
      <c r="A63" s="439"/>
      <c r="B63" s="427"/>
      <c r="C63" s="427"/>
      <c r="D63" s="426"/>
      <c r="E63" s="428"/>
      <c r="F63" s="429"/>
      <c r="G63" s="429"/>
      <c r="H63" s="429"/>
      <c r="I63" s="429"/>
      <c r="J63" s="429"/>
      <c r="K63" s="426"/>
    </row>
    <row r="64" spans="1:11" ht="38.25" x14ac:dyDescent="0.25">
      <c r="A64" s="439"/>
      <c r="B64" s="441" t="s">
        <v>357</v>
      </c>
      <c r="C64" s="439"/>
      <c r="D64" s="426"/>
      <c r="E64" s="484" t="s">
        <v>358</v>
      </c>
      <c r="F64" s="443">
        <f>F65</f>
        <v>38405140</v>
      </c>
      <c r="G64" s="443">
        <f>G65</f>
        <v>7272860</v>
      </c>
      <c r="H64" s="443">
        <f>H65</f>
        <v>28065300</v>
      </c>
      <c r="I64" s="443">
        <f>I65</f>
        <v>35338160</v>
      </c>
      <c r="J64" s="443">
        <f>J65</f>
        <v>3066980</v>
      </c>
      <c r="K64" s="426"/>
    </row>
    <row r="65" spans="1:11" ht="0.75" hidden="1" customHeight="1" x14ac:dyDescent="0.25">
      <c r="A65" s="438"/>
      <c r="B65" s="419" t="s">
        <v>357</v>
      </c>
      <c r="C65" s="419" t="s">
        <v>359</v>
      </c>
      <c r="D65" s="418"/>
      <c r="E65" s="420" t="s">
        <v>67</v>
      </c>
      <c r="F65" s="421">
        <f>F66+F71+F73+F76</f>
        <v>38405140</v>
      </c>
      <c r="G65" s="421">
        <f>G66+G71+G73+G76</f>
        <v>7272860</v>
      </c>
      <c r="H65" s="421">
        <f>H66+H71+H73+H76</f>
        <v>28065300</v>
      </c>
      <c r="I65" s="421">
        <f>I66+I71+I73+I76</f>
        <v>35338160</v>
      </c>
      <c r="J65" s="421">
        <f>J66+J71+J73+J76</f>
        <v>3066980</v>
      </c>
      <c r="K65" s="418"/>
    </row>
    <row r="66" spans="1:11" hidden="1" x14ac:dyDescent="0.25">
      <c r="A66" s="440"/>
      <c r="B66" s="423" t="s">
        <v>357</v>
      </c>
      <c r="C66" s="423" t="s">
        <v>360</v>
      </c>
      <c r="D66" s="422"/>
      <c r="E66" s="424" t="s">
        <v>361</v>
      </c>
      <c r="F66" s="425">
        <f>SUM(F67:F70)</f>
        <v>19965140</v>
      </c>
      <c r="G66" s="425">
        <f>SUM(G67:G70)</f>
        <v>3832500</v>
      </c>
      <c r="H66" s="425">
        <f>SUM(H67:H70)</f>
        <v>15166200</v>
      </c>
      <c r="I66" s="425">
        <f>SUM(I67:I70)</f>
        <v>18998700</v>
      </c>
      <c r="J66" s="425">
        <f>SUM(J67:J70)</f>
        <v>966440</v>
      </c>
      <c r="K66" s="422"/>
    </row>
    <row r="67" spans="1:11" hidden="1" x14ac:dyDescent="0.25">
      <c r="A67" s="439"/>
      <c r="B67" s="427" t="s">
        <v>357</v>
      </c>
      <c r="C67" s="427" t="s">
        <v>362</v>
      </c>
      <c r="D67" s="426"/>
      <c r="E67" s="428" t="s">
        <v>363</v>
      </c>
      <c r="F67" s="429">
        <v>8059900</v>
      </c>
      <c r="G67" s="429">
        <v>1059500</v>
      </c>
      <c r="H67" s="429">
        <f>[2]Nov!I73</f>
        <v>7000000</v>
      </c>
      <c r="I67" s="429">
        <f t="shared" ref="I67:I70" si="9">G67+H67</f>
        <v>8059500</v>
      </c>
      <c r="J67" s="429">
        <f t="shared" ref="J67:J70" si="10">F67-I67</f>
        <v>400</v>
      </c>
      <c r="K67" s="426"/>
    </row>
    <row r="68" spans="1:11" hidden="1" x14ac:dyDescent="0.25">
      <c r="A68" s="439"/>
      <c r="B68" s="427" t="s">
        <v>357</v>
      </c>
      <c r="C68" s="427" t="s">
        <v>364</v>
      </c>
      <c r="D68" s="426"/>
      <c r="E68" s="428" t="s">
        <v>365</v>
      </c>
      <c r="F68" s="429">
        <v>885000</v>
      </c>
      <c r="G68" s="429">
        <v>0</v>
      </c>
      <c r="H68" s="429">
        <f>[2]Nov!I74</f>
        <v>885000</v>
      </c>
      <c r="I68" s="429">
        <f t="shared" si="9"/>
        <v>885000</v>
      </c>
      <c r="J68" s="429">
        <f t="shared" si="10"/>
        <v>0</v>
      </c>
      <c r="K68" s="426"/>
    </row>
    <row r="69" spans="1:11" hidden="1" x14ac:dyDescent="0.25">
      <c r="A69" s="439"/>
      <c r="B69" s="427" t="s">
        <v>357</v>
      </c>
      <c r="C69" s="427" t="s">
        <v>366</v>
      </c>
      <c r="D69" s="426"/>
      <c r="E69" s="428" t="s">
        <v>367</v>
      </c>
      <c r="F69" s="429">
        <v>3164240</v>
      </c>
      <c r="G69" s="429">
        <v>1364000</v>
      </c>
      <c r="H69" s="429">
        <f>[2]Nov!I75</f>
        <v>1800000</v>
      </c>
      <c r="I69" s="429">
        <f t="shared" si="9"/>
        <v>3164000</v>
      </c>
      <c r="J69" s="429">
        <f t="shared" si="10"/>
        <v>240</v>
      </c>
      <c r="K69" s="426"/>
    </row>
    <row r="70" spans="1:11" hidden="1" x14ac:dyDescent="0.25">
      <c r="A70" s="439"/>
      <c r="B70" s="427" t="s">
        <v>357</v>
      </c>
      <c r="C70" s="427" t="s">
        <v>368</v>
      </c>
      <c r="D70" s="426"/>
      <c r="E70" s="428" t="s">
        <v>369</v>
      </c>
      <c r="F70" s="429">
        <v>7856000</v>
      </c>
      <c r="G70" s="429">
        <f>847000+121000+121000+320000</f>
        <v>1409000</v>
      </c>
      <c r="H70" s="429">
        <f>[2]Nov!I76</f>
        <v>5481200</v>
      </c>
      <c r="I70" s="429">
        <f t="shared" si="9"/>
        <v>6890200</v>
      </c>
      <c r="J70" s="429">
        <f t="shared" si="10"/>
        <v>965800</v>
      </c>
      <c r="K70" s="426"/>
    </row>
    <row r="71" spans="1:11" hidden="1" x14ac:dyDescent="0.25">
      <c r="A71" s="440"/>
      <c r="B71" s="423" t="s">
        <v>357</v>
      </c>
      <c r="C71" s="423" t="s">
        <v>370</v>
      </c>
      <c r="D71" s="422"/>
      <c r="E71" s="424" t="s">
        <v>81</v>
      </c>
      <c r="F71" s="425">
        <f>SUM(F72)</f>
        <v>12100000</v>
      </c>
      <c r="G71" s="425">
        <f>SUM(G72)</f>
        <v>2200000</v>
      </c>
      <c r="H71" s="425">
        <f>SUM(H72)</f>
        <v>9900000</v>
      </c>
      <c r="I71" s="425">
        <f>SUM(I72)</f>
        <v>12100000</v>
      </c>
      <c r="J71" s="425">
        <f>SUM(J72)</f>
        <v>0</v>
      </c>
      <c r="K71" s="422"/>
    </row>
    <row r="72" spans="1:11" hidden="1" x14ac:dyDescent="0.25">
      <c r="A72" s="439"/>
      <c r="B72" s="427" t="s">
        <v>357</v>
      </c>
      <c r="C72" s="427" t="s">
        <v>371</v>
      </c>
      <c r="D72" s="426"/>
      <c r="E72" s="428" t="s">
        <v>372</v>
      </c>
      <c r="F72" s="429">
        <v>12100000</v>
      </c>
      <c r="G72" s="429">
        <v>2200000</v>
      </c>
      <c r="H72" s="429">
        <f>[2]Nov!I78</f>
        <v>9900000</v>
      </c>
      <c r="I72" s="429">
        <f>G72+H72</f>
        <v>12100000</v>
      </c>
      <c r="J72" s="429">
        <f>F72-I72</f>
        <v>0</v>
      </c>
      <c r="K72" s="426"/>
    </row>
    <row r="73" spans="1:11" hidden="1" x14ac:dyDescent="0.25">
      <c r="A73" s="440"/>
      <c r="B73" s="423" t="s">
        <v>357</v>
      </c>
      <c r="C73" s="423" t="s">
        <v>373</v>
      </c>
      <c r="D73" s="422"/>
      <c r="E73" s="424" t="s">
        <v>145</v>
      </c>
      <c r="F73" s="425">
        <f>SUM(F74:F75)</f>
        <v>3150000</v>
      </c>
      <c r="G73" s="425">
        <f>SUM(G74:G75)</f>
        <v>700000</v>
      </c>
      <c r="H73" s="425">
        <f>SUM(H74:H75)</f>
        <v>2450000</v>
      </c>
      <c r="I73" s="425">
        <f>SUM(I74:I75)</f>
        <v>3150000</v>
      </c>
      <c r="J73" s="425">
        <f>SUM(J74:J75)</f>
        <v>0</v>
      </c>
      <c r="K73" s="422"/>
    </row>
    <row r="74" spans="1:11" hidden="1" x14ac:dyDescent="0.25">
      <c r="A74" s="439"/>
      <c r="B74" s="427" t="s">
        <v>357</v>
      </c>
      <c r="C74" s="427" t="s">
        <v>374</v>
      </c>
      <c r="D74" s="426"/>
      <c r="E74" s="428" t="s">
        <v>375</v>
      </c>
      <c r="F74" s="429">
        <v>2400000</v>
      </c>
      <c r="G74" s="429">
        <v>0</v>
      </c>
      <c r="H74" s="429">
        <f>[2]Nov!I80</f>
        <v>2400000</v>
      </c>
      <c r="I74" s="429">
        <f t="shared" ref="I74:I75" si="11">G74+H74</f>
        <v>2400000</v>
      </c>
      <c r="J74" s="429">
        <f t="shared" ref="J74:J75" si="12">F74-I74</f>
        <v>0</v>
      </c>
      <c r="K74" s="426"/>
    </row>
    <row r="75" spans="1:11" hidden="1" x14ac:dyDescent="0.25">
      <c r="A75" s="439"/>
      <c r="B75" s="427" t="s">
        <v>357</v>
      </c>
      <c r="C75" s="427" t="s">
        <v>376</v>
      </c>
      <c r="D75" s="426"/>
      <c r="E75" s="428" t="s">
        <v>377</v>
      </c>
      <c r="F75" s="429">
        <v>750000</v>
      </c>
      <c r="G75" s="429">
        <v>700000</v>
      </c>
      <c r="H75" s="429">
        <f>[2]Nov!I81</f>
        <v>50000</v>
      </c>
      <c r="I75" s="429">
        <f t="shared" si="11"/>
        <v>750000</v>
      </c>
      <c r="J75" s="429">
        <f t="shared" si="12"/>
        <v>0</v>
      </c>
      <c r="K75" s="426"/>
    </row>
    <row r="76" spans="1:11" hidden="1" x14ac:dyDescent="0.25">
      <c r="A76" s="440"/>
      <c r="B76" s="423" t="s">
        <v>357</v>
      </c>
      <c r="C76" s="423" t="s">
        <v>378</v>
      </c>
      <c r="D76" s="422"/>
      <c r="E76" s="424" t="s">
        <v>78</v>
      </c>
      <c r="F76" s="425">
        <f>SUM(F77:F80)</f>
        <v>3190000</v>
      </c>
      <c r="G76" s="425">
        <f>SUM(G77:G80)</f>
        <v>540360</v>
      </c>
      <c r="H76" s="425">
        <f>SUM(H77:H80)</f>
        <v>549100</v>
      </c>
      <c r="I76" s="425">
        <f>SUM(I77:I80)</f>
        <v>1089460</v>
      </c>
      <c r="J76" s="425">
        <f>SUM(J77:J80)</f>
        <v>2100540</v>
      </c>
      <c r="K76" s="422"/>
    </row>
    <row r="77" spans="1:11" hidden="1" x14ac:dyDescent="0.25">
      <c r="A77" s="439"/>
      <c r="B77" s="427" t="s">
        <v>357</v>
      </c>
      <c r="C77" s="427" t="s">
        <v>379</v>
      </c>
      <c r="D77" s="426"/>
      <c r="E77" s="428" t="s">
        <v>380</v>
      </c>
      <c r="F77" s="429">
        <v>600000</v>
      </c>
      <c r="G77" s="429">
        <v>206860</v>
      </c>
      <c r="H77" s="429">
        <f>[2]Nov!I83</f>
        <v>349100</v>
      </c>
      <c r="I77" s="429">
        <f t="shared" ref="I77:I80" si="13">G77+H77</f>
        <v>555960</v>
      </c>
      <c r="J77" s="429">
        <f t="shared" ref="J77:J80" si="14">F77-I77</f>
        <v>44040</v>
      </c>
      <c r="K77" s="426"/>
    </row>
    <row r="78" spans="1:11" hidden="1" x14ac:dyDescent="0.25">
      <c r="A78" s="439"/>
      <c r="B78" s="427" t="s">
        <v>357</v>
      </c>
      <c r="C78" s="427" t="s">
        <v>381</v>
      </c>
      <c r="D78" s="426"/>
      <c r="E78" s="428" t="s">
        <v>382</v>
      </c>
      <c r="F78" s="429">
        <v>360000</v>
      </c>
      <c r="G78" s="429">
        <v>240000</v>
      </c>
      <c r="H78" s="429">
        <f>[2]Nov!I84</f>
        <v>120000</v>
      </c>
      <c r="I78" s="429">
        <f t="shared" si="13"/>
        <v>360000</v>
      </c>
      <c r="J78" s="429">
        <f t="shared" si="14"/>
        <v>0</v>
      </c>
      <c r="K78" s="426"/>
    </row>
    <row r="79" spans="1:11" hidden="1" x14ac:dyDescent="0.25">
      <c r="A79" s="439"/>
      <c r="B79" s="427" t="s">
        <v>357</v>
      </c>
      <c r="C79" s="427" t="s">
        <v>383</v>
      </c>
      <c r="D79" s="426"/>
      <c r="E79" s="428" t="s">
        <v>384</v>
      </c>
      <c r="F79" s="429">
        <v>1680000</v>
      </c>
      <c r="G79" s="429">
        <v>0</v>
      </c>
      <c r="H79" s="429">
        <f>[2]Nov!I85</f>
        <v>0</v>
      </c>
      <c r="I79" s="429">
        <f t="shared" si="13"/>
        <v>0</v>
      </c>
      <c r="J79" s="429">
        <f t="shared" si="14"/>
        <v>1680000</v>
      </c>
      <c r="K79" s="426"/>
    </row>
    <row r="80" spans="1:11" hidden="1" x14ac:dyDescent="0.25">
      <c r="A80" s="431"/>
      <c r="B80" s="444" t="s">
        <v>357</v>
      </c>
      <c r="C80" s="444" t="s">
        <v>385</v>
      </c>
      <c r="D80" s="430"/>
      <c r="E80" s="445" t="s">
        <v>386</v>
      </c>
      <c r="F80" s="446">
        <v>550000</v>
      </c>
      <c r="G80" s="446">
        <v>93500</v>
      </c>
      <c r="H80" s="429">
        <f>[2]Nov!I86</f>
        <v>80000</v>
      </c>
      <c r="I80" s="446">
        <f t="shared" si="13"/>
        <v>173500</v>
      </c>
      <c r="J80" s="446">
        <f t="shared" si="14"/>
        <v>376500</v>
      </c>
      <c r="K80" s="430"/>
    </row>
    <row r="81" spans="1:11" hidden="1" x14ac:dyDescent="0.25">
      <c r="A81" s="477"/>
      <c r="B81" s="478"/>
      <c r="C81" s="478"/>
      <c r="D81" s="479"/>
      <c r="E81" s="480"/>
      <c r="F81" s="481"/>
      <c r="G81" s="481"/>
      <c r="H81" s="482"/>
      <c r="I81" s="481"/>
      <c r="J81" s="481"/>
      <c r="K81" s="479"/>
    </row>
    <row r="82" spans="1:11" x14ac:dyDescent="0.25">
      <c r="A82" s="447"/>
      <c r="B82" s="415" t="s">
        <v>387</v>
      </c>
      <c r="C82" s="447"/>
      <c r="D82" s="434"/>
      <c r="E82" s="416" t="s">
        <v>388</v>
      </c>
      <c r="F82" s="448">
        <f t="shared" ref="F82:J83" si="15">F83</f>
        <v>42250000</v>
      </c>
      <c r="G82" s="448">
        <f t="shared" si="15"/>
        <v>3250000</v>
      </c>
      <c r="H82" s="448">
        <f t="shared" si="15"/>
        <v>39000000</v>
      </c>
      <c r="I82" s="448">
        <f t="shared" si="15"/>
        <v>42250000</v>
      </c>
      <c r="J82" s="448">
        <f t="shared" si="15"/>
        <v>0</v>
      </c>
      <c r="K82" s="434"/>
    </row>
    <row r="83" spans="1:11" hidden="1" x14ac:dyDescent="0.25">
      <c r="A83" s="438"/>
      <c r="B83" s="419" t="s">
        <v>387</v>
      </c>
      <c r="C83" s="419" t="s">
        <v>332</v>
      </c>
      <c r="D83" s="418"/>
      <c r="E83" s="420" t="s">
        <v>66</v>
      </c>
      <c r="F83" s="421">
        <f t="shared" si="15"/>
        <v>42250000</v>
      </c>
      <c r="G83" s="421">
        <f t="shared" si="15"/>
        <v>3250000</v>
      </c>
      <c r="H83" s="421">
        <f t="shared" si="15"/>
        <v>39000000</v>
      </c>
      <c r="I83" s="421">
        <f t="shared" si="15"/>
        <v>42250000</v>
      </c>
      <c r="J83" s="421">
        <f t="shared" si="15"/>
        <v>0</v>
      </c>
      <c r="K83" s="418"/>
    </row>
    <row r="84" spans="1:11" hidden="1" x14ac:dyDescent="0.25">
      <c r="A84" s="440"/>
      <c r="B84" s="423" t="s">
        <v>387</v>
      </c>
      <c r="C84" s="423" t="s">
        <v>389</v>
      </c>
      <c r="D84" s="422"/>
      <c r="E84" s="424" t="s">
        <v>146</v>
      </c>
      <c r="F84" s="425">
        <f>SUM(F85:F86)</f>
        <v>42250000</v>
      </c>
      <c r="G84" s="425">
        <f>SUM(G85:G86)</f>
        <v>3250000</v>
      </c>
      <c r="H84" s="425">
        <f>SUM(H85:H86)</f>
        <v>39000000</v>
      </c>
      <c r="I84" s="425">
        <f>SUM(I85:I86)</f>
        <v>42250000</v>
      </c>
      <c r="J84" s="425">
        <f>SUM(J85:J86)</f>
        <v>0</v>
      </c>
      <c r="K84" s="422"/>
    </row>
    <row r="85" spans="1:11" hidden="1" x14ac:dyDescent="0.25">
      <c r="A85" s="439"/>
      <c r="B85" s="427" t="s">
        <v>387</v>
      </c>
      <c r="C85" s="427" t="s">
        <v>390</v>
      </c>
      <c r="D85" s="426"/>
      <c r="E85" s="428" t="s">
        <v>391</v>
      </c>
      <c r="F85" s="429">
        <v>39000000</v>
      </c>
      <c r="G85" s="429">
        <v>3250000</v>
      </c>
      <c r="H85" s="429">
        <f>[2]Nov!I94</f>
        <v>35750000</v>
      </c>
      <c r="I85" s="429">
        <f t="shared" ref="I85:I86" si="16">G85+H85</f>
        <v>39000000</v>
      </c>
      <c r="J85" s="429">
        <f t="shared" ref="J85:J86" si="17">F85-I85</f>
        <v>0</v>
      </c>
      <c r="K85" s="426"/>
    </row>
    <row r="86" spans="1:11" hidden="1" x14ac:dyDescent="0.25">
      <c r="A86" s="439"/>
      <c r="B86" s="427" t="s">
        <v>387</v>
      </c>
      <c r="C86" s="427" t="s">
        <v>392</v>
      </c>
      <c r="D86" s="426"/>
      <c r="E86" s="428" t="s">
        <v>393</v>
      </c>
      <c r="F86" s="429">
        <v>3250000</v>
      </c>
      <c r="G86" s="429">
        <v>0</v>
      </c>
      <c r="H86" s="429">
        <f>[2]Nov!I95</f>
        <v>3250000</v>
      </c>
      <c r="I86" s="429">
        <f t="shared" si="16"/>
        <v>3250000</v>
      </c>
      <c r="J86" s="429">
        <f t="shared" si="17"/>
        <v>0</v>
      </c>
      <c r="K86" s="426"/>
    </row>
    <row r="87" spans="1:11" hidden="1" x14ac:dyDescent="0.25">
      <c r="A87" s="439"/>
      <c r="B87" s="427"/>
      <c r="C87" s="427"/>
      <c r="D87" s="426"/>
      <c r="E87" s="428"/>
      <c r="F87" s="429"/>
      <c r="G87" s="429"/>
      <c r="H87" s="429"/>
      <c r="I87" s="429"/>
      <c r="J87" s="429"/>
      <c r="K87" s="426"/>
    </row>
    <row r="88" spans="1:11" ht="38.25" x14ac:dyDescent="0.25">
      <c r="A88" s="438"/>
      <c r="B88" s="449" t="s">
        <v>394</v>
      </c>
      <c r="C88" s="438"/>
      <c r="D88" s="418"/>
      <c r="E88" s="484" t="s">
        <v>395</v>
      </c>
      <c r="F88" s="443">
        <f>F89</f>
        <v>4160000</v>
      </c>
      <c r="G88" s="443">
        <f>G89</f>
        <v>2000000</v>
      </c>
      <c r="H88" s="443">
        <f>H89</f>
        <v>1636500</v>
      </c>
      <c r="I88" s="443">
        <f>I89</f>
        <v>3636500</v>
      </c>
      <c r="J88" s="443">
        <f>J89</f>
        <v>523500</v>
      </c>
      <c r="K88" s="418"/>
    </row>
    <row r="89" spans="1:11" hidden="1" x14ac:dyDescent="0.25">
      <c r="A89" s="438"/>
      <c r="B89" s="419" t="s">
        <v>394</v>
      </c>
      <c r="C89" s="419" t="s">
        <v>359</v>
      </c>
      <c r="D89" s="418"/>
      <c r="E89" s="420" t="s">
        <v>67</v>
      </c>
      <c r="F89" s="421">
        <f>F90+F94</f>
        <v>4160000</v>
      </c>
      <c r="G89" s="421">
        <f>G90+G94</f>
        <v>2000000</v>
      </c>
      <c r="H89" s="421">
        <f>H90+H94</f>
        <v>1636500</v>
      </c>
      <c r="I89" s="421">
        <f>I90+I94</f>
        <v>3636500</v>
      </c>
      <c r="J89" s="421">
        <f>J90+J94</f>
        <v>523500</v>
      </c>
      <c r="K89" s="418"/>
    </row>
    <row r="90" spans="1:11" hidden="1" x14ac:dyDescent="0.25">
      <c r="A90" s="440"/>
      <c r="B90" s="423" t="s">
        <v>394</v>
      </c>
      <c r="C90" s="423" t="s">
        <v>360</v>
      </c>
      <c r="D90" s="422"/>
      <c r="E90" s="424" t="s">
        <v>361</v>
      </c>
      <c r="F90" s="425">
        <f>SUM(F91:F93)</f>
        <v>3900000</v>
      </c>
      <c r="G90" s="425">
        <f>SUM(G91:G93)</f>
        <v>2000000</v>
      </c>
      <c r="H90" s="425">
        <f>SUM(H91:H93)</f>
        <v>1546500</v>
      </c>
      <c r="I90" s="425">
        <f>SUM(I91:I93)</f>
        <v>3546500</v>
      </c>
      <c r="J90" s="425">
        <f>SUM(J91:J93)</f>
        <v>353500</v>
      </c>
      <c r="K90" s="422"/>
    </row>
    <row r="91" spans="1:11" hidden="1" x14ac:dyDescent="0.25">
      <c r="A91" s="439"/>
      <c r="B91" s="427" t="s">
        <v>394</v>
      </c>
      <c r="C91" s="427" t="s">
        <v>362</v>
      </c>
      <c r="D91" s="426"/>
      <c r="E91" s="428" t="s">
        <v>363</v>
      </c>
      <c r="F91" s="429">
        <v>50000</v>
      </c>
      <c r="G91" s="429">
        <v>50000</v>
      </c>
      <c r="H91" s="429">
        <f>[2]Nov!I100</f>
        <v>0</v>
      </c>
      <c r="I91" s="429">
        <f t="shared" ref="I91:I93" si="18">G91+H91</f>
        <v>50000</v>
      </c>
      <c r="J91" s="429">
        <f t="shared" ref="J91:J93" si="19">F91-I91</f>
        <v>0</v>
      </c>
      <c r="K91" s="426"/>
    </row>
    <row r="92" spans="1:11" hidden="1" x14ac:dyDescent="0.25">
      <c r="A92" s="439"/>
      <c r="B92" s="427" t="s">
        <v>394</v>
      </c>
      <c r="C92" s="427" t="s">
        <v>366</v>
      </c>
      <c r="D92" s="426"/>
      <c r="E92" s="428" t="s">
        <v>367</v>
      </c>
      <c r="F92" s="429">
        <v>47500</v>
      </c>
      <c r="G92" s="429">
        <v>47500</v>
      </c>
      <c r="H92" s="429">
        <f>[2]Nov!I101</f>
        <v>0</v>
      </c>
      <c r="I92" s="429">
        <f t="shared" si="18"/>
        <v>47500</v>
      </c>
      <c r="J92" s="429">
        <f t="shared" si="19"/>
        <v>0</v>
      </c>
      <c r="K92" s="426"/>
    </row>
    <row r="93" spans="1:11" hidden="1" x14ac:dyDescent="0.25">
      <c r="A93" s="439"/>
      <c r="B93" s="427" t="s">
        <v>394</v>
      </c>
      <c r="C93" s="427" t="s">
        <v>368</v>
      </c>
      <c r="D93" s="426"/>
      <c r="E93" s="428" t="s">
        <v>369</v>
      </c>
      <c r="F93" s="429">
        <v>3802500</v>
      </c>
      <c r="G93" s="429">
        <f>202500+1700000</f>
        <v>1902500</v>
      </c>
      <c r="H93" s="429">
        <f>[2]Nov!I102</f>
        <v>1546500</v>
      </c>
      <c r="I93" s="429">
        <f t="shared" si="18"/>
        <v>3449000</v>
      </c>
      <c r="J93" s="429">
        <f t="shared" si="19"/>
        <v>353500</v>
      </c>
      <c r="K93" s="426"/>
    </row>
    <row r="94" spans="1:11" hidden="1" x14ac:dyDescent="0.25">
      <c r="A94" s="440"/>
      <c r="B94" s="423" t="s">
        <v>394</v>
      </c>
      <c r="C94" s="423" t="s">
        <v>373</v>
      </c>
      <c r="D94" s="422"/>
      <c r="E94" s="424" t="s">
        <v>145</v>
      </c>
      <c r="F94" s="425">
        <f>SUM(F95:F96)</f>
        <v>260000</v>
      </c>
      <c r="G94" s="425">
        <f>SUM(G95:G96)</f>
        <v>0</v>
      </c>
      <c r="H94" s="425">
        <f>SUM(H95:H96)</f>
        <v>90000</v>
      </c>
      <c r="I94" s="425">
        <f>SUM(I95:I96)</f>
        <v>90000</v>
      </c>
      <c r="J94" s="425">
        <f>SUM(J95:J96)</f>
        <v>170000</v>
      </c>
      <c r="K94" s="422"/>
    </row>
    <row r="95" spans="1:11" hidden="1" x14ac:dyDescent="0.25">
      <c r="A95" s="439"/>
      <c r="B95" s="427" t="s">
        <v>394</v>
      </c>
      <c r="C95" s="427" t="s">
        <v>374</v>
      </c>
      <c r="D95" s="426"/>
      <c r="E95" s="428" t="s">
        <v>375</v>
      </c>
      <c r="F95" s="429">
        <v>160000</v>
      </c>
      <c r="G95" s="429">
        <v>0</v>
      </c>
      <c r="H95" s="429">
        <f>[2]Nov!I104</f>
        <v>40000</v>
      </c>
      <c r="I95" s="429">
        <f t="shared" ref="I95:I96" si="20">G95+H95</f>
        <v>40000</v>
      </c>
      <c r="J95" s="429">
        <f t="shared" ref="J95:J96" si="21">F95-I95</f>
        <v>120000</v>
      </c>
      <c r="K95" s="426"/>
    </row>
    <row r="96" spans="1:11" hidden="1" x14ac:dyDescent="0.25">
      <c r="A96" s="439"/>
      <c r="B96" s="427" t="s">
        <v>394</v>
      </c>
      <c r="C96" s="427" t="s">
        <v>376</v>
      </c>
      <c r="D96" s="426"/>
      <c r="E96" s="428" t="s">
        <v>377</v>
      </c>
      <c r="F96" s="429">
        <v>100000</v>
      </c>
      <c r="G96" s="429">
        <v>0</v>
      </c>
      <c r="H96" s="429">
        <f>[2]Nov!I105</f>
        <v>50000</v>
      </c>
      <c r="I96" s="429">
        <f t="shared" si="20"/>
        <v>50000</v>
      </c>
      <c r="J96" s="429">
        <f t="shared" si="21"/>
        <v>50000</v>
      </c>
      <c r="K96" s="426"/>
    </row>
    <row r="97" spans="1:11" hidden="1" x14ac:dyDescent="0.25">
      <c r="A97" s="439"/>
      <c r="B97" s="427"/>
      <c r="C97" s="427"/>
      <c r="D97" s="426"/>
      <c r="E97" s="428"/>
      <c r="F97" s="429"/>
      <c r="G97" s="429"/>
      <c r="H97" s="429"/>
      <c r="I97" s="429"/>
      <c r="J97" s="429"/>
      <c r="K97" s="426"/>
    </row>
    <row r="98" spans="1:11" x14ac:dyDescent="0.25">
      <c r="A98" s="438"/>
      <c r="B98" s="419" t="s">
        <v>396</v>
      </c>
      <c r="C98" s="438"/>
      <c r="D98" s="418"/>
      <c r="E98" s="420" t="s">
        <v>397</v>
      </c>
      <c r="F98" s="421">
        <f>F99</f>
        <v>12000000</v>
      </c>
      <c r="G98" s="421">
        <f>G99</f>
        <v>1900000</v>
      </c>
      <c r="H98" s="421">
        <f>H99</f>
        <v>10100000</v>
      </c>
      <c r="I98" s="421">
        <f>I99</f>
        <v>12000000</v>
      </c>
      <c r="J98" s="421">
        <f>J99</f>
        <v>0</v>
      </c>
      <c r="K98" s="418"/>
    </row>
    <row r="99" spans="1:11" hidden="1" x14ac:dyDescent="0.25">
      <c r="A99" s="438"/>
      <c r="B99" s="419" t="s">
        <v>396</v>
      </c>
      <c r="C99" s="419" t="s">
        <v>359</v>
      </c>
      <c r="D99" s="418"/>
      <c r="E99" s="420" t="s">
        <v>67</v>
      </c>
      <c r="F99" s="421">
        <f>F100+F102</f>
        <v>12000000</v>
      </c>
      <c r="G99" s="421">
        <f>G100+G102</f>
        <v>1900000</v>
      </c>
      <c r="H99" s="421">
        <f>H100+H102</f>
        <v>10100000</v>
      </c>
      <c r="I99" s="421">
        <f>I100+I102</f>
        <v>12000000</v>
      </c>
      <c r="J99" s="421">
        <f>J100+J102</f>
        <v>0</v>
      </c>
      <c r="K99" s="418"/>
    </row>
    <row r="100" spans="1:11" hidden="1" x14ac:dyDescent="0.25">
      <c r="A100" s="440"/>
      <c r="B100" s="423" t="s">
        <v>396</v>
      </c>
      <c r="C100" s="423" t="s">
        <v>360</v>
      </c>
      <c r="D100" s="422"/>
      <c r="E100" s="424" t="s">
        <v>361</v>
      </c>
      <c r="F100" s="425">
        <f>SUM(F101)</f>
        <v>600000</v>
      </c>
      <c r="G100" s="425">
        <f>SUM(G101)</f>
        <v>0</v>
      </c>
      <c r="H100" s="425">
        <f>SUM(H101)</f>
        <v>600000</v>
      </c>
      <c r="I100" s="425">
        <f>SUM(I101)</f>
        <v>600000</v>
      </c>
      <c r="J100" s="425">
        <f>SUM(J101)</f>
        <v>0</v>
      </c>
      <c r="K100" s="422"/>
    </row>
    <row r="101" spans="1:11" hidden="1" x14ac:dyDescent="0.25">
      <c r="A101" s="439"/>
      <c r="B101" s="427" t="s">
        <v>396</v>
      </c>
      <c r="C101" s="427" t="s">
        <v>368</v>
      </c>
      <c r="D101" s="426"/>
      <c r="E101" s="428" t="s">
        <v>369</v>
      </c>
      <c r="F101" s="429">
        <v>600000</v>
      </c>
      <c r="G101" s="429">
        <v>0</v>
      </c>
      <c r="H101" s="429">
        <f>[2]Nov!I110</f>
        <v>600000</v>
      </c>
      <c r="I101" s="429">
        <f t="shared" ref="I101" si="22">G101+H101</f>
        <v>600000</v>
      </c>
      <c r="J101" s="429">
        <f t="shared" ref="J101" si="23">F101-I101</f>
        <v>0</v>
      </c>
      <c r="K101" s="426"/>
    </row>
    <row r="102" spans="1:11" hidden="1" x14ac:dyDescent="0.25">
      <c r="A102" s="440"/>
      <c r="B102" s="423" t="s">
        <v>396</v>
      </c>
      <c r="C102" s="423" t="s">
        <v>370</v>
      </c>
      <c r="D102" s="422"/>
      <c r="E102" s="424" t="s">
        <v>81</v>
      </c>
      <c r="F102" s="425">
        <f>SUM(F103)</f>
        <v>11400000</v>
      </c>
      <c r="G102" s="425">
        <f>SUM(G103)</f>
        <v>1900000</v>
      </c>
      <c r="H102" s="425">
        <f>SUM(H103)</f>
        <v>9500000</v>
      </c>
      <c r="I102" s="425">
        <f>SUM(I103)</f>
        <v>11400000</v>
      </c>
      <c r="J102" s="425">
        <f>SUM(J103)</f>
        <v>0</v>
      </c>
      <c r="K102" s="422"/>
    </row>
    <row r="103" spans="1:11" hidden="1" x14ac:dyDescent="0.25">
      <c r="A103" s="439"/>
      <c r="B103" s="427" t="s">
        <v>396</v>
      </c>
      <c r="C103" s="427" t="s">
        <v>398</v>
      </c>
      <c r="D103" s="426"/>
      <c r="E103" s="428" t="s">
        <v>399</v>
      </c>
      <c r="F103" s="429">
        <v>11400000</v>
      </c>
      <c r="G103" s="429">
        <v>1900000</v>
      </c>
      <c r="H103" s="429">
        <f>[2]Nov!I112</f>
        <v>9500000</v>
      </c>
      <c r="I103" s="429">
        <f t="shared" ref="I103" si="24">G103+H103</f>
        <v>11400000</v>
      </c>
      <c r="J103" s="429">
        <f t="shared" ref="J103" si="25">F103-I103</f>
        <v>0</v>
      </c>
      <c r="K103" s="426"/>
    </row>
    <row r="104" spans="1:11" hidden="1" x14ac:dyDescent="0.25">
      <c r="A104" s="439"/>
      <c r="B104" s="427"/>
      <c r="C104" s="427"/>
      <c r="D104" s="426"/>
      <c r="E104" s="428"/>
      <c r="F104" s="429"/>
      <c r="G104" s="429"/>
      <c r="H104" s="429"/>
      <c r="I104" s="429"/>
      <c r="J104" s="429"/>
      <c r="K104" s="426"/>
    </row>
    <row r="105" spans="1:11" x14ac:dyDescent="0.25">
      <c r="A105" s="438"/>
      <c r="B105" s="419" t="s">
        <v>400</v>
      </c>
      <c r="C105" s="438"/>
      <c r="D105" s="420" t="s">
        <v>401</v>
      </c>
      <c r="E105" s="418"/>
      <c r="F105" s="421">
        <f>F106+F111+F116</f>
        <v>13402000</v>
      </c>
      <c r="G105" s="421">
        <f>G106+G111+G116</f>
        <v>2550000</v>
      </c>
      <c r="H105" s="421">
        <f>H106+H111+H116</f>
        <v>10804000</v>
      </c>
      <c r="I105" s="421">
        <f>I106+I111+I116</f>
        <v>13354000</v>
      </c>
      <c r="J105" s="421">
        <f>J106+J111+J116</f>
        <v>48000</v>
      </c>
      <c r="K105" s="418"/>
    </row>
    <row r="106" spans="1:11" x14ac:dyDescent="0.25">
      <c r="A106" s="438"/>
      <c r="B106" s="419" t="s">
        <v>402</v>
      </c>
      <c r="C106" s="438"/>
      <c r="D106" s="418"/>
      <c r="E106" s="420" t="s">
        <v>403</v>
      </c>
      <c r="F106" s="421">
        <f t="shared" ref="F106:J107" si="26">F107</f>
        <v>9960000</v>
      </c>
      <c r="G106" s="421">
        <f t="shared" si="26"/>
        <v>0</v>
      </c>
      <c r="H106" s="421">
        <f t="shared" si="26"/>
        <v>9960000</v>
      </c>
      <c r="I106" s="421">
        <f t="shared" si="26"/>
        <v>9960000</v>
      </c>
      <c r="J106" s="421">
        <f t="shared" si="26"/>
        <v>0</v>
      </c>
      <c r="K106" s="418"/>
    </row>
    <row r="107" spans="1:11" hidden="1" x14ac:dyDescent="0.25">
      <c r="A107" s="438"/>
      <c r="B107" s="419" t="s">
        <v>402</v>
      </c>
      <c r="C107" s="419" t="s">
        <v>404</v>
      </c>
      <c r="D107" s="418"/>
      <c r="E107" s="420" t="s">
        <v>68</v>
      </c>
      <c r="F107" s="421">
        <f t="shared" si="26"/>
        <v>9960000</v>
      </c>
      <c r="G107" s="421">
        <f t="shared" si="26"/>
        <v>0</v>
      </c>
      <c r="H107" s="421">
        <f t="shared" si="26"/>
        <v>9960000</v>
      </c>
      <c r="I107" s="421">
        <f t="shared" si="26"/>
        <v>9960000</v>
      </c>
      <c r="J107" s="421">
        <f t="shared" si="26"/>
        <v>0</v>
      </c>
      <c r="K107" s="418"/>
    </row>
    <row r="108" spans="1:11" hidden="1" x14ac:dyDescent="0.25">
      <c r="A108" s="438"/>
      <c r="B108" s="423" t="s">
        <v>402</v>
      </c>
      <c r="C108" s="423" t="s">
        <v>405</v>
      </c>
      <c r="D108" s="422"/>
      <c r="E108" s="424" t="s">
        <v>406</v>
      </c>
      <c r="F108" s="425">
        <f>SUM(F109)</f>
        <v>9960000</v>
      </c>
      <c r="G108" s="425">
        <f>SUM(G109)</f>
        <v>0</v>
      </c>
      <c r="H108" s="425">
        <f>SUM(H109)</f>
        <v>9960000</v>
      </c>
      <c r="I108" s="425">
        <f>SUM(I109)</f>
        <v>9960000</v>
      </c>
      <c r="J108" s="425">
        <f>SUM(J109)</f>
        <v>0</v>
      </c>
      <c r="K108" s="422"/>
    </row>
    <row r="109" spans="1:11" hidden="1" x14ac:dyDescent="0.25">
      <c r="A109" s="438"/>
      <c r="B109" s="427" t="s">
        <v>402</v>
      </c>
      <c r="C109" s="427" t="s">
        <v>407</v>
      </c>
      <c r="D109" s="426"/>
      <c r="E109" s="428" t="s">
        <v>408</v>
      </c>
      <c r="F109" s="429">
        <v>9960000</v>
      </c>
      <c r="G109" s="429">
        <v>0</v>
      </c>
      <c r="H109" s="429">
        <f>[2]Nov!I118</f>
        <v>9960000</v>
      </c>
      <c r="I109" s="429">
        <f t="shared" ref="I109" si="27">G109+H109</f>
        <v>9960000</v>
      </c>
      <c r="J109" s="429">
        <f t="shared" ref="J109" si="28">F109-I109</f>
        <v>0</v>
      </c>
      <c r="K109" s="426"/>
    </row>
    <row r="110" spans="1:11" hidden="1" x14ac:dyDescent="0.25">
      <c r="A110" s="438"/>
      <c r="B110" s="419"/>
      <c r="C110" s="438"/>
      <c r="D110" s="420"/>
      <c r="E110" s="418"/>
      <c r="F110" s="421"/>
      <c r="G110" s="421"/>
      <c r="H110" s="421"/>
      <c r="I110" s="421"/>
      <c r="J110" s="421"/>
      <c r="K110" s="418"/>
    </row>
    <row r="111" spans="1:11" x14ac:dyDescent="0.25">
      <c r="A111" s="438"/>
      <c r="B111" s="419" t="s">
        <v>409</v>
      </c>
      <c r="C111" s="438"/>
      <c r="D111" s="418"/>
      <c r="E111" s="420" t="s">
        <v>410</v>
      </c>
      <c r="F111" s="421">
        <f t="shared" ref="F111:J112" si="29">F112</f>
        <v>1912000</v>
      </c>
      <c r="G111" s="421">
        <f t="shared" si="29"/>
        <v>1360000</v>
      </c>
      <c r="H111" s="421">
        <f t="shared" si="29"/>
        <v>504000</v>
      </c>
      <c r="I111" s="421">
        <f t="shared" si="29"/>
        <v>1864000</v>
      </c>
      <c r="J111" s="421">
        <f t="shared" si="29"/>
        <v>48000</v>
      </c>
      <c r="K111" s="418"/>
    </row>
    <row r="112" spans="1:11" hidden="1" x14ac:dyDescent="0.25">
      <c r="A112" s="438"/>
      <c r="B112" s="419" t="s">
        <v>409</v>
      </c>
      <c r="C112" s="419" t="s">
        <v>359</v>
      </c>
      <c r="D112" s="418"/>
      <c r="E112" s="420" t="s">
        <v>67</v>
      </c>
      <c r="F112" s="421">
        <f t="shared" si="29"/>
        <v>1912000</v>
      </c>
      <c r="G112" s="421">
        <f t="shared" si="29"/>
        <v>1360000</v>
      </c>
      <c r="H112" s="421">
        <f t="shared" si="29"/>
        <v>504000</v>
      </c>
      <c r="I112" s="421">
        <f t="shared" si="29"/>
        <v>1864000</v>
      </c>
      <c r="J112" s="421">
        <f t="shared" si="29"/>
        <v>48000</v>
      </c>
      <c r="K112" s="418"/>
    </row>
    <row r="113" spans="1:11" hidden="1" x14ac:dyDescent="0.25">
      <c r="A113" s="440"/>
      <c r="B113" s="423" t="s">
        <v>409</v>
      </c>
      <c r="C113" s="423" t="s">
        <v>411</v>
      </c>
      <c r="D113" s="422"/>
      <c r="E113" s="424" t="s">
        <v>79</v>
      </c>
      <c r="F113" s="425">
        <f>SUM(F114)</f>
        <v>1912000</v>
      </c>
      <c r="G113" s="425">
        <f>SUM(G114)</f>
        <v>1360000</v>
      </c>
      <c r="H113" s="425">
        <f>SUM(H114)</f>
        <v>504000</v>
      </c>
      <c r="I113" s="425">
        <f>SUM(I114)</f>
        <v>1864000</v>
      </c>
      <c r="J113" s="425">
        <f>SUM(J114)</f>
        <v>48000</v>
      </c>
      <c r="K113" s="422"/>
    </row>
    <row r="114" spans="1:11" hidden="1" x14ac:dyDescent="0.25">
      <c r="A114" s="439"/>
      <c r="B114" s="427" t="s">
        <v>409</v>
      </c>
      <c r="C114" s="427" t="s">
        <v>412</v>
      </c>
      <c r="D114" s="426"/>
      <c r="E114" s="428" t="s">
        <v>413</v>
      </c>
      <c r="F114" s="429">
        <v>1912000</v>
      </c>
      <c r="G114" s="429">
        <f>360000+1000000</f>
        <v>1360000</v>
      </c>
      <c r="H114" s="429">
        <f>[2]Nov!I123</f>
        <v>504000</v>
      </c>
      <c r="I114" s="429">
        <f t="shared" ref="I114" si="30">G114+H114</f>
        <v>1864000</v>
      </c>
      <c r="J114" s="429">
        <f t="shared" ref="J114" si="31">F114-I114</f>
        <v>48000</v>
      </c>
      <c r="K114" s="426"/>
    </row>
    <row r="115" spans="1:11" hidden="1" x14ac:dyDescent="0.25">
      <c r="A115" s="439"/>
      <c r="B115" s="427"/>
      <c r="C115" s="427"/>
      <c r="D115" s="426"/>
      <c r="E115" s="428"/>
      <c r="F115" s="429"/>
      <c r="G115" s="429"/>
      <c r="H115" s="429"/>
      <c r="I115" s="429"/>
      <c r="J115" s="429"/>
      <c r="K115" s="426"/>
    </row>
    <row r="116" spans="1:11" x14ac:dyDescent="0.25">
      <c r="A116" s="438"/>
      <c r="B116" s="419" t="s">
        <v>414</v>
      </c>
      <c r="C116" s="438"/>
      <c r="D116" s="418"/>
      <c r="E116" s="420" t="s">
        <v>415</v>
      </c>
      <c r="F116" s="421">
        <f t="shared" ref="F116:J117" si="32">F117</f>
        <v>1530000</v>
      </c>
      <c r="G116" s="421">
        <f t="shared" si="32"/>
        <v>1190000</v>
      </c>
      <c r="H116" s="421">
        <f t="shared" si="32"/>
        <v>340000</v>
      </c>
      <c r="I116" s="421">
        <f t="shared" si="32"/>
        <v>1530000</v>
      </c>
      <c r="J116" s="421">
        <f t="shared" si="32"/>
        <v>0</v>
      </c>
      <c r="K116" s="418"/>
    </row>
    <row r="117" spans="1:11" hidden="1" x14ac:dyDescent="0.25">
      <c r="A117" s="438"/>
      <c r="B117" s="419" t="s">
        <v>414</v>
      </c>
      <c r="C117" s="419" t="s">
        <v>359</v>
      </c>
      <c r="D117" s="418"/>
      <c r="E117" s="420" t="s">
        <v>67</v>
      </c>
      <c r="F117" s="421">
        <f t="shared" si="32"/>
        <v>1530000</v>
      </c>
      <c r="G117" s="421">
        <f t="shared" si="32"/>
        <v>1190000</v>
      </c>
      <c r="H117" s="421">
        <f t="shared" si="32"/>
        <v>340000</v>
      </c>
      <c r="I117" s="421">
        <f t="shared" si="32"/>
        <v>1530000</v>
      </c>
      <c r="J117" s="421">
        <f t="shared" si="32"/>
        <v>0</v>
      </c>
      <c r="K117" s="418"/>
    </row>
    <row r="118" spans="1:11" hidden="1" x14ac:dyDescent="0.25">
      <c r="A118" s="440"/>
      <c r="B118" s="423" t="s">
        <v>414</v>
      </c>
      <c r="C118" s="423" t="s">
        <v>411</v>
      </c>
      <c r="D118" s="422"/>
      <c r="E118" s="424" t="s">
        <v>79</v>
      </c>
      <c r="F118" s="425">
        <f>SUM(F119)</f>
        <v>1530000</v>
      </c>
      <c r="G118" s="425">
        <f>SUM(G119)</f>
        <v>1190000</v>
      </c>
      <c r="H118" s="425">
        <f>SUM(H119)</f>
        <v>340000</v>
      </c>
      <c r="I118" s="425">
        <f>SUM(I119)</f>
        <v>1530000</v>
      </c>
      <c r="J118" s="425">
        <f>SUM(J119)</f>
        <v>0</v>
      </c>
      <c r="K118" s="422"/>
    </row>
    <row r="119" spans="1:11" hidden="1" x14ac:dyDescent="0.25">
      <c r="A119" s="439"/>
      <c r="B119" s="427" t="s">
        <v>414</v>
      </c>
      <c r="C119" s="427" t="s">
        <v>416</v>
      </c>
      <c r="D119" s="426"/>
      <c r="E119" s="428" t="s">
        <v>417</v>
      </c>
      <c r="F119" s="429">
        <v>1530000</v>
      </c>
      <c r="G119" s="429">
        <v>1190000</v>
      </c>
      <c r="H119" s="429">
        <f>[2]Nov!I128</f>
        <v>340000</v>
      </c>
      <c r="I119" s="429">
        <f t="shared" ref="I119" si="33">G119+H119</f>
        <v>1530000</v>
      </c>
      <c r="J119" s="429">
        <f t="shared" ref="J119" si="34">F119-I119</f>
        <v>0</v>
      </c>
      <c r="K119" s="426"/>
    </row>
    <row r="120" spans="1:11" hidden="1" x14ac:dyDescent="0.25">
      <c r="A120" s="450"/>
      <c r="B120" s="451"/>
      <c r="C120" s="451"/>
      <c r="D120" s="452"/>
      <c r="E120" s="453"/>
      <c r="F120" s="454"/>
      <c r="G120" s="454"/>
      <c r="H120" s="454"/>
      <c r="I120" s="454"/>
      <c r="J120" s="454"/>
      <c r="K120" s="452"/>
    </row>
    <row r="121" spans="1:11" x14ac:dyDescent="0.25">
      <c r="A121" s="438"/>
      <c r="B121" s="449" t="s">
        <v>418</v>
      </c>
      <c r="C121" s="438"/>
      <c r="D121" s="540" t="s">
        <v>419</v>
      </c>
      <c r="E121" s="540"/>
      <c r="F121" s="443">
        <f>F122+F130+F137</f>
        <v>17646200</v>
      </c>
      <c r="G121" s="443">
        <f>G122+G130+G137</f>
        <v>12347500</v>
      </c>
      <c r="H121" s="443">
        <f>H122+H130+H137</f>
        <v>4718500</v>
      </c>
      <c r="I121" s="443">
        <f>I122+I130+I137</f>
        <v>17066000</v>
      </c>
      <c r="J121" s="443">
        <f>J122+J130+J137</f>
        <v>580200</v>
      </c>
      <c r="K121" s="418"/>
    </row>
    <row r="122" spans="1:11" x14ac:dyDescent="0.25">
      <c r="A122" s="438"/>
      <c r="B122" s="419" t="s">
        <v>420</v>
      </c>
      <c r="C122" s="438"/>
      <c r="D122" s="418"/>
      <c r="E122" s="420" t="s">
        <v>421</v>
      </c>
      <c r="F122" s="421">
        <f>F123</f>
        <v>10547500</v>
      </c>
      <c r="G122" s="421">
        <f>G123</f>
        <v>10547500</v>
      </c>
      <c r="H122" s="421">
        <f>H123</f>
        <v>0</v>
      </c>
      <c r="I122" s="421">
        <f>I123</f>
        <v>10547500</v>
      </c>
      <c r="J122" s="421">
        <f>J123</f>
        <v>0</v>
      </c>
      <c r="K122" s="418"/>
    </row>
    <row r="123" spans="1:11" hidden="1" x14ac:dyDescent="0.25">
      <c r="A123" s="438"/>
      <c r="B123" s="419" t="s">
        <v>420</v>
      </c>
      <c r="C123" s="419" t="s">
        <v>359</v>
      </c>
      <c r="D123" s="418"/>
      <c r="E123" s="420" t="s">
        <v>67</v>
      </c>
      <c r="F123" s="421">
        <f>F124+F127</f>
        <v>10547500</v>
      </c>
      <c r="G123" s="421">
        <f>G124+G127</f>
        <v>10547500</v>
      </c>
      <c r="H123" s="421">
        <f>H124+H127</f>
        <v>0</v>
      </c>
      <c r="I123" s="421">
        <f>I124+I127</f>
        <v>10547500</v>
      </c>
      <c r="J123" s="421">
        <f>J124+J127</f>
        <v>0</v>
      </c>
      <c r="K123" s="418"/>
    </row>
    <row r="124" spans="1:11" hidden="1" x14ac:dyDescent="0.25">
      <c r="A124" s="440"/>
      <c r="B124" s="423" t="s">
        <v>420</v>
      </c>
      <c r="C124" s="423" t="s">
        <v>360</v>
      </c>
      <c r="D124" s="422"/>
      <c r="E124" s="424" t="s">
        <v>361</v>
      </c>
      <c r="F124" s="425">
        <f>SUM(F125:F126)</f>
        <v>3377500</v>
      </c>
      <c r="G124" s="425">
        <f>SUM(G125:G126)</f>
        <v>3377500</v>
      </c>
      <c r="H124" s="425">
        <f>SUM(H125:H126)</f>
        <v>0</v>
      </c>
      <c r="I124" s="425">
        <f>SUM(I125:I126)</f>
        <v>3377500</v>
      </c>
      <c r="J124" s="425">
        <f>SUM(J125:J126)</f>
        <v>0</v>
      </c>
      <c r="K124" s="422"/>
    </row>
    <row r="125" spans="1:11" hidden="1" x14ac:dyDescent="0.25">
      <c r="A125" s="439"/>
      <c r="B125" s="427" t="s">
        <v>420</v>
      </c>
      <c r="C125" s="427" t="s">
        <v>366</v>
      </c>
      <c r="D125" s="426"/>
      <c r="E125" s="428" t="s">
        <v>367</v>
      </c>
      <c r="F125" s="429">
        <v>3227500</v>
      </c>
      <c r="G125" s="429">
        <f>2987500+195000+45000</f>
        <v>3227500</v>
      </c>
      <c r="H125" s="429">
        <f>[2]Nov!I140</f>
        <v>0</v>
      </c>
      <c r="I125" s="429">
        <f t="shared" ref="I125:I126" si="35">G125+H125</f>
        <v>3227500</v>
      </c>
      <c r="J125" s="429">
        <f t="shared" ref="J125:J126" si="36">F125-I125</f>
        <v>0</v>
      </c>
      <c r="K125" s="426"/>
    </row>
    <row r="126" spans="1:11" hidden="1" x14ac:dyDescent="0.25">
      <c r="A126" s="439"/>
      <c r="B126" s="427" t="s">
        <v>420</v>
      </c>
      <c r="C126" s="427" t="s">
        <v>368</v>
      </c>
      <c r="D126" s="426"/>
      <c r="E126" s="428" t="s">
        <v>369</v>
      </c>
      <c r="F126" s="429">
        <v>150000</v>
      </c>
      <c r="G126" s="429">
        <v>150000</v>
      </c>
      <c r="H126" s="429">
        <f>[2]Nov!I141</f>
        <v>0</v>
      </c>
      <c r="I126" s="429">
        <f t="shared" si="35"/>
        <v>150000</v>
      </c>
      <c r="J126" s="429">
        <f t="shared" si="36"/>
        <v>0</v>
      </c>
      <c r="K126" s="426"/>
    </row>
    <row r="127" spans="1:11" hidden="1" x14ac:dyDescent="0.25">
      <c r="A127" s="440"/>
      <c r="B127" s="423" t="s">
        <v>420</v>
      </c>
      <c r="C127" s="423" t="s">
        <v>370</v>
      </c>
      <c r="D127" s="422"/>
      <c r="E127" s="424" t="s">
        <v>81</v>
      </c>
      <c r="F127" s="425">
        <f>SUM(F128)</f>
        <v>7170000</v>
      </c>
      <c r="G127" s="425">
        <f>SUM(G128)</f>
        <v>7170000</v>
      </c>
      <c r="H127" s="425">
        <f>SUM(H128)</f>
        <v>0</v>
      </c>
      <c r="I127" s="425">
        <f>SUM(I128)</f>
        <v>7170000</v>
      </c>
      <c r="J127" s="425">
        <f>SUM(J128)</f>
        <v>0</v>
      </c>
      <c r="K127" s="422"/>
    </row>
    <row r="128" spans="1:11" hidden="1" x14ac:dyDescent="0.25">
      <c r="A128" s="450"/>
      <c r="B128" s="451" t="s">
        <v>420</v>
      </c>
      <c r="C128" s="451" t="s">
        <v>422</v>
      </c>
      <c r="D128" s="452"/>
      <c r="E128" s="453" t="s">
        <v>423</v>
      </c>
      <c r="F128" s="454">
        <v>7170000</v>
      </c>
      <c r="G128" s="454">
        <f>3585000+3585000</f>
        <v>7170000</v>
      </c>
      <c r="H128" s="429">
        <f>[2]Nov!I143</f>
        <v>0</v>
      </c>
      <c r="I128" s="454">
        <f t="shared" ref="I128" si="37">G128+H128</f>
        <v>7170000</v>
      </c>
      <c r="J128" s="454">
        <f t="shared" ref="J128" si="38">F128-I128</f>
        <v>0</v>
      </c>
      <c r="K128" s="452"/>
    </row>
    <row r="129" spans="1:11" hidden="1" x14ac:dyDescent="0.25">
      <c r="A129" s="439"/>
      <c r="B129" s="427"/>
      <c r="C129" s="427"/>
      <c r="D129" s="426"/>
      <c r="E129" s="428"/>
      <c r="F129" s="429"/>
      <c r="G129" s="429"/>
      <c r="H129" s="429"/>
      <c r="I129" s="429"/>
      <c r="J129" s="429"/>
      <c r="K129" s="426"/>
    </row>
    <row r="130" spans="1:11" x14ac:dyDescent="0.25">
      <c r="A130" s="455"/>
      <c r="B130" s="456" t="s">
        <v>424</v>
      </c>
      <c r="C130" s="455"/>
      <c r="D130" s="457"/>
      <c r="E130" s="458" t="s">
        <v>425</v>
      </c>
      <c r="F130" s="459">
        <f t="shared" ref="F130:J131" si="39">F131</f>
        <v>545000</v>
      </c>
      <c r="G130" s="459">
        <f t="shared" si="39"/>
        <v>0</v>
      </c>
      <c r="H130" s="459">
        <f t="shared" si="39"/>
        <v>545000</v>
      </c>
      <c r="I130" s="459">
        <f t="shared" si="39"/>
        <v>545000</v>
      </c>
      <c r="J130" s="459">
        <f t="shared" si="39"/>
        <v>0</v>
      </c>
      <c r="K130" s="457"/>
    </row>
    <row r="131" spans="1:11" hidden="1" x14ac:dyDescent="0.25">
      <c r="A131" s="438"/>
      <c r="B131" s="419" t="s">
        <v>424</v>
      </c>
      <c r="C131" s="419" t="s">
        <v>359</v>
      </c>
      <c r="D131" s="418"/>
      <c r="E131" s="420" t="s">
        <v>67</v>
      </c>
      <c r="F131" s="421">
        <f t="shared" si="39"/>
        <v>545000</v>
      </c>
      <c r="G131" s="421">
        <f t="shared" si="39"/>
        <v>0</v>
      </c>
      <c r="H131" s="421">
        <f t="shared" si="39"/>
        <v>545000</v>
      </c>
      <c r="I131" s="421">
        <f t="shared" si="39"/>
        <v>545000</v>
      </c>
      <c r="J131" s="421">
        <f t="shared" si="39"/>
        <v>0</v>
      </c>
      <c r="K131" s="418"/>
    </row>
    <row r="132" spans="1:11" hidden="1" x14ac:dyDescent="0.25">
      <c r="A132" s="440"/>
      <c r="B132" s="423" t="s">
        <v>424</v>
      </c>
      <c r="C132" s="423" t="s">
        <v>360</v>
      </c>
      <c r="D132" s="422"/>
      <c r="E132" s="424" t="s">
        <v>361</v>
      </c>
      <c r="F132" s="425">
        <f>SUM(F133:F135)</f>
        <v>545000</v>
      </c>
      <c r="G132" s="425">
        <f>SUM(G133:G135)</f>
        <v>0</v>
      </c>
      <c r="H132" s="425">
        <f>SUM(H133:H135)</f>
        <v>545000</v>
      </c>
      <c r="I132" s="425">
        <f>SUM(I133:I135)</f>
        <v>545000</v>
      </c>
      <c r="J132" s="425">
        <f>SUM(J133:J135)</f>
        <v>0</v>
      </c>
      <c r="K132" s="422"/>
    </row>
    <row r="133" spans="1:11" hidden="1" x14ac:dyDescent="0.25">
      <c r="A133" s="439"/>
      <c r="B133" s="427" t="s">
        <v>424</v>
      </c>
      <c r="C133" s="427" t="s">
        <v>362</v>
      </c>
      <c r="D133" s="426"/>
      <c r="E133" s="428" t="s">
        <v>363</v>
      </c>
      <c r="F133" s="429">
        <v>65000</v>
      </c>
      <c r="G133" s="429">
        <v>0</v>
      </c>
      <c r="H133" s="429">
        <f>[2]Nov!I148</f>
        <v>65000</v>
      </c>
      <c r="I133" s="429">
        <f t="shared" ref="I133:I135" si="40">G133+H133</f>
        <v>65000</v>
      </c>
      <c r="J133" s="429">
        <f t="shared" ref="J133:J135" si="41">F133-I133</f>
        <v>0</v>
      </c>
      <c r="K133" s="426"/>
    </row>
    <row r="134" spans="1:11" hidden="1" x14ac:dyDescent="0.25">
      <c r="A134" s="439"/>
      <c r="B134" s="427" t="s">
        <v>424</v>
      </c>
      <c r="C134" s="427" t="s">
        <v>366</v>
      </c>
      <c r="D134" s="426"/>
      <c r="E134" s="428" t="s">
        <v>367</v>
      </c>
      <c r="F134" s="429">
        <v>120000</v>
      </c>
      <c r="G134" s="429">
        <v>0</v>
      </c>
      <c r="H134" s="429">
        <f>[2]Nov!I149</f>
        <v>120000</v>
      </c>
      <c r="I134" s="429">
        <f t="shared" si="40"/>
        <v>120000</v>
      </c>
      <c r="J134" s="429">
        <f t="shared" si="41"/>
        <v>0</v>
      </c>
      <c r="K134" s="426"/>
    </row>
    <row r="135" spans="1:11" hidden="1" x14ac:dyDescent="0.25">
      <c r="A135" s="439"/>
      <c r="B135" s="427" t="s">
        <v>424</v>
      </c>
      <c r="C135" s="427" t="s">
        <v>368</v>
      </c>
      <c r="D135" s="426"/>
      <c r="E135" s="428" t="s">
        <v>369</v>
      </c>
      <c r="F135" s="429">
        <v>360000</v>
      </c>
      <c r="G135" s="429">
        <v>0</v>
      </c>
      <c r="H135" s="429">
        <f>[2]Nov!I150</f>
        <v>360000</v>
      </c>
      <c r="I135" s="429">
        <f t="shared" si="40"/>
        <v>360000</v>
      </c>
      <c r="J135" s="429">
        <f t="shared" si="41"/>
        <v>0</v>
      </c>
      <c r="K135" s="426"/>
    </row>
    <row r="136" spans="1:11" hidden="1" x14ac:dyDescent="0.25">
      <c r="A136" s="439"/>
      <c r="B136" s="427"/>
      <c r="C136" s="427"/>
      <c r="D136" s="426"/>
      <c r="E136" s="428"/>
      <c r="F136" s="429"/>
      <c r="G136" s="429"/>
      <c r="H136" s="429"/>
      <c r="I136" s="429"/>
      <c r="J136" s="429"/>
      <c r="K136" s="426"/>
    </row>
    <row r="137" spans="1:11" x14ac:dyDescent="0.25">
      <c r="A137" s="438"/>
      <c r="B137" s="419" t="s">
        <v>426</v>
      </c>
      <c r="C137" s="438"/>
      <c r="D137" s="418"/>
      <c r="E137" s="420" t="s">
        <v>427</v>
      </c>
      <c r="F137" s="421">
        <f>F138</f>
        <v>6553700</v>
      </c>
      <c r="G137" s="421">
        <f>G138</f>
        <v>1800000</v>
      </c>
      <c r="H137" s="421">
        <f>H138</f>
        <v>4173500</v>
      </c>
      <c r="I137" s="421">
        <f>I138</f>
        <v>5973500</v>
      </c>
      <c r="J137" s="421">
        <f>J138</f>
        <v>580200</v>
      </c>
      <c r="K137" s="418"/>
    </row>
    <row r="138" spans="1:11" x14ac:dyDescent="0.25">
      <c r="A138" s="438"/>
      <c r="B138" s="419" t="s">
        <v>426</v>
      </c>
      <c r="C138" s="419" t="s">
        <v>359</v>
      </c>
      <c r="D138" s="418"/>
      <c r="E138" s="420" t="s">
        <v>67</v>
      </c>
      <c r="F138" s="421">
        <f>F139+F143</f>
        <v>6553700</v>
      </c>
      <c r="G138" s="421">
        <f>G139+G143</f>
        <v>1800000</v>
      </c>
      <c r="H138" s="421">
        <f>H139+H143</f>
        <v>4173500</v>
      </c>
      <c r="I138" s="421">
        <f>I139+I143</f>
        <v>5973500</v>
      </c>
      <c r="J138" s="421">
        <f>J139+J143</f>
        <v>580200</v>
      </c>
      <c r="K138" s="418"/>
    </row>
    <row r="139" spans="1:11" hidden="1" x14ac:dyDescent="0.25">
      <c r="A139" s="440"/>
      <c r="B139" s="423" t="s">
        <v>426</v>
      </c>
      <c r="C139" s="423" t="s">
        <v>360</v>
      </c>
      <c r="D139" s="422"/>
      <c r="E139" s="424" t="s">
        <v>361</v>
      </c>
      <c r="F139" s="425">
        <f>SUM(F140:F142)</f>
        <v>4133700</v>
      </c>
      <c r="G139" s="425">
        <f>SUM(G140:G142)</f>
        <v>0</v>
      </c>
      <c r="H139" s="425">
        <f>SUM(H140:H142)</f>
        <v>3553500</v>
      </c>
      <c r="I139" s="425">
        <f>SUM(I140:I142)</f>
        <v>3553500</v>
      </c>
      <c r="J139" s="425">
        <f>SUM(J140:J142)</f>
        <v>580200</v>
      </c>
      <c r="K139" s="422"/>
    </row>
    <row r="140" spans="1:11" hidden="1" x14ac:dyDescent="0.25">
      <c r="A140" s="439"/>
      <c r="B140" s="427" t="s">
        <v>426</v>
      </c>
      <c r="C140" s="427" t="s">
        <v>362</v>
      </c>
      <c r="D140" s="426"/>
      <c r="E140" s="428" t="s">
        <v>363</v>
      </c>
      <c r="F140" s="429">
        <v>440000</v>
      </c>
      <c r="G140" s="429">
        <v>0</v>
      </c>
      <c r="H140" s="429">
        <f>[2]Nov!I155</f>
        <v>440000</v>
      </c>
      <c r="I140" s="429">
        <f t="shared" ref="I140:I142" si="42">G140+H140</f>
        <v>440000</v>
      </c>
      <c r="J140" s="429">
        <f t="shared" ref="J140:J142" si="43">F140-I140</f>
        <v>0</v>
      </c>
      <c r="K140" s="426"/>
    </row>
    <row r="141" spans="1:11" hidden="1" x14ac:dyDescent="0.25">
      <c r="A141" s="439"/>
      <c r="B141" s="427" t="s">
        <v>426</v>
      </c>
      <c r="C141" s="427" t="s">
        <v>366</v>
      </c>
      <c r="D141" s="426"/>
      <c r="E141" s="428" t="s">
        <v>367</v>
      </c>
      <c r="F141" s="429">
        <v>893700</v>
      </c>
      <c r="G141" s="429">
        <v>0</v>
      </c>
      <c r="H141" s="429">
        <f>[2]Nov!I156</f>
        <v>393500</v>
      </c>
      <c r="I141" s="429">
        <f t="shared" si="42"/>
        <v>393500</v>
      </c>
      <c r="J141" s="429">
        <f t="shared" si="43"/>
        <v>500200</v>
      </c>
      <c r="K141" s="426"/>
    </row>
    <row r="142" spans="1:11" hidden="1" x14ac:dyDescent="0.25">
      <c r="A142" s="439"/>
      <c r="B142" s="427" t="s">
        <v>426</v>
      </c>
      <c r="C142" s="427" t="s">
        <v>368</v>
      </c>
      <c r="D142" s="426"/>
      <c r="E142" s="428" t="s">
        <v>369</v>
      </c>
      <c r="F142" s="429">
        <v>2800000</v>
      </c>
      <c r="G142" s="429">
        <v>0</v>
      </c>
      <c r="H142" s="429">
        <f>[2]Nov!I157</f>
        <v>2720000</v>
      </c>
      <c r="I142" s="429">
        <f t="shared" si="42"/>
        <v>2720000</v>
      </c>
      <c r="J142" s="429">
        <f t="shared" si="43"/>
        <v>80000</v>
      </c>
      <c r="K142" s="426"/>
    </row>
    <row r="143" spans="1:11" hidden="1" x14ac:dyDescent="0.25">
      <c r="A143" s="440"/>
      <c r="B143" s="423" t="s">
        <v>426</v>
      </c>
      <c r="C143" s="423" t="s">
        <v>370</v>
      </c>
      <c r="D143" s="422"/>
      <c r="E143" s="424" t="s">
        <v>81</v>
      </c>
      <c r="F143" s="425">
        <f>SUM(F144)</f>
        <v>2420000</v>
      </c>
      <c r="G143" s="425">
        <f>SUM(G144)</f>
        <v>1800000</v>
      </c>
      <c r="H143" s="425">
        <f>SUM(H144)</f>
        <v>620000</v>
      </c>
      <c r="I143" s="425">
        <f>SUM(I144)</f>
        <v>2420000</v>
      </c>
      <c r="J143" s="425">
        <f>SUM(J144)</f>
        <v>0</v>
      </c>
      <c r="K143" s="422"/>
    </row>
    <row r="144" spans="1:11" hidden="1" x14ac:dyDescent="0.25">
      <c r="A144" s="439"/>
      <c r="B144" s="427" t="s">
        <v>426</v>
      </c>
      <c r="C144" s="427" t="s">
        <v>422</v>
      </c>
      <c r="D144" s="426"/>
      <c r="E144" s="428" t="s">
        <v>423</v>
      </c>
      <c r="F144" s="429">
        <v>2420000</v>
      </c>
      <c r="G144" s="429">
        <f>900000+900000</f>
        <v>1800000</v>
      </c>
      <c r="H144" s="429">
        <f>[2]Nov!I159</f>
        <v>620000</v>
      </c>
      <c r="I144" s="429">
        <f t="shared" ref="I144" si="44">G144+H144</f>
        <v>2420000</v>
      </c>
      <c r="J144" s="429">
        <f t="shared" ref="J144" si="45">F144-I144</f>
        <v>0</v>
      </c>
      <c r="K144" s="426"/>
    </row>
    <row r="145" spans="1:11" hidden="1" x14ac:dyDescent="0.25">
      <c r="A145" s="439"/>
      <c r="B145" s="427"/>
      <c r="C145" s="427"/>
      <c r="D145" s="426"/>
      <c r="E145" s="428"/>
      <c r="F145" s="429"/>
      <c r="G145" s="429"/>
      <c r="H145" s="429"/>
      <c r="I145" s="429"/>
      <c r="J145" s="429"/>
      <c r="K145" s="426"/>
    </row>
    <row r="146" spans="1:11" x14ac:dyDescent="0.25">
      <c r="A146" s="438"/>
      <c r="B146" s="449" t="s">
        <v>428</v>
      </c>
      <c r="C146" s="438"/>
      <c r="D146" s="540" t="s">
        <v>429</v>
      </c>
      <c r="E146" s="540"/>
      <c r="F146" s="443">
        <f>F147+F154+F160+F169+F175+F181+F187+F195+F201+F213</f>
        <v>79747716</v>
      </c>
      <c r="G146" s="443">
        <f>G147+G154+G160+G169+G175+G181+G187+G195+G201+G213</f>
        <v>31949800</v>
      </c>
      <c r="H146" s="443">
        <f>H147+H154+H160+H169+H175+H181+H187+H195+H201+H213</f>
        <v>44879250</v>
      </c>
      <c r="I146" s="443">
        <f>I147+I154+I160+I169+I175+I181+I187+I195+I201+I213</f>
        <v>76829050</v>
      </c>
      <c r="J146" s="443">
        <f>J147+J154+J160+J169+J175+J181+J187+J195+J201+J213</f>
        <v>2918666</v>
      </c>
      <c r="K146" s="418"/>
    </row>
    <row r="147" spans="1:11" ht="25.5" x14ac:dyDescent="0.25">
      <c r="A147" s="438"/>
      <c r="B147" s="449" t="s">
        <v>430</v>
      </c>
      <c r="C147" s="438"/>
      <c r="D147" s="418"/>
      <c r="E147" s="484" t="s">
        <v>431</v>
      </c>
      <c r="F147" s="443">
        <f t="shared" ref="F147:J148" si="46">F148</f>
        <v>11936858</v>
      </c>
      <c r="G147" s="443">
        <f t="shared" si="46"/>
        <v>800000</v>
      </c>
      <c r="H147" s="443">
        <f t="shared" si="46"/>
        <v>9656750</v>
      </c>
      <c r="I147" s="443">
        <f t="shared" si="46"/>
        <v>10456750</v>
      </c>
      <c r="J147" s="443">
        <f t="shared" si="46"/>
        <v>1480108</v>
      </c>
      <c r="K147" s="418"/>
    </row>
    <row r="148" spans="1:11" ht="0.75" customHeight="1" x14ac:dyDescent="0.25">
      <c r="A148" s="438"/>
      <c r="B148" s="419" t="s">
        <v>430</v>
      </c>
      <c r="C148" s="419" t="s">
        <v>359</v>
      </c>
      <c r="D148" s="418"/>
      <c r="E148" s="420" t="s">
        <v>67</v>
      </c>
      <c r="F148" s="421">
        <f t="shared" si="46"/>
        <v>11936858</v>
      </c>
      <c r="G148" s="421">
        <f t="shared" si="46"/>
        <v>800000</v>
      </c>
      <c r="H148" s="421">
        <f t="shared" si="46"/>
        <v>9656750</v>
      </c>
      <c r="I148" s="421">
        <f t="shared" si="46"/>
        <v>10456750</v>
      </c>
      <c r="J148" s="421">
        <f t="shared" si="46"/>
        <v>1480108</v>
      </c>
      <c r="K148" s="418"/>
    </row>
    <row r="149" spans="1:11" hidden="1" x14ac:dyDescent="0.25">
      <c r="A149" s="440"/>
      <c r="B149" s="423" t="s">
        <v>430</v>
      </c>
      <c r="C149" s="423" t="s">
        <v>360</v>
      </c>
      <c r="D149" s="422"/>
      <c r="E149" s="424" t="s">
        <v>361</v>
      </c>
      <c r="F149" s="425">
        <f>SUM(F150:F152)</f>
        <v>11936858</v>
      </c>
      <c r="G149" s="425">
        <f>SUM(G150:G152)</f>
        <v>800000</v>
      </c>
      <c r="H149" s="425">
        <f>SUM(H150:H152)</f>
        <v>9656750</v>
      </c>
      <c r="I149" s="425">
        <f>SUM(I150:I152)</f>
        <v>10456750</v>
      </c>
      <c r="J149" s="425">
        <f>SUM(J150:J152)</f>
        <v>1480108</v>
      </c>
      <c r="K149" s="422"/>
    </row>
    <row r="150" spans="1:11" hidden="1" x14ac:dyDescent="0.25">
      <c r="A150" s="439"/>
      <c r="B150" s="427" t="s">
        <v>430</v>
      </c>
      <c r="C150" s="427" t="s">
        <v>362</v>
      </c>
      <c r="D150" s="426"/>
      <c r="E150" s="428" t="s">
        <v>363</v>
      </c>
      <c r="F150" s="429">
        <v>530000</v>
      </c>
      <c r="G150" s="429">
        <v>0</v>
      </c>
      <c r="H150" s="429">
        <f>[2]Nov!I165</f>
        <v>530000</v>
      </c>
      <c r="I150" s="429">
        <f t="shared" ref="I150:I152" si="47">G150+H150</f>
        <v>530000</v>
      </c>
      <c r="J150" s="429">
        <f t="shared" ref="J150:J152" si="48">F150-I150</f>
        <v>0</v>
      </c>
      <c r="K150" s="426"/>
    </row>
    <row r="151" spans="1:11" hidden="1" x14ac:dyDescent="0.25">
      <c r="A151" s="439"/>
      <c r="B151" s="427" t="s">
        <v>430</v>
      </c>
      <c r="C151" s="427" t="s">
        <v>366</v>
      </c>
      <c r="D151" s="426"/>
      <c r="E151" s="428" t="s">
        <v>367</v>
      </c>
      <c r="F151" s="429">
        <v>1206858</v>
      </c>
      <c r="G151" s="429">
        <v>0</v>
      </c>
      <c r="H151" s="429">
        <f>[2]Nov!I166</f>
        <v>1206750</v>
      </c>
      <c r="I151" s="429">
        <f t="shared" si="47"/>
        <v>1206750</v>
      </c>
      <c r="J151" s="429">
        <f t="shared" si="48"/>
        <v>108</v>
      </c>
      <c r="K151" s="426"/>
    </row>
    <row r="152" spans="1:11" hidden="1" x14ac:dyDescent="0.25">
      <c r="A152" s="439"/>
      <c r="B152" s="427" t="s">
        <v>430</v>
      </c>
      <c r="C152" s="427" t="s">
        <v>368</v>
      </c>
      <c r="D152" s="426"/>
      <c r="E152" s="428" t="s">
        <v>369</v>
      </c>
      <c r="F152" s="429">
        <v>10200000</v>
      </c>
      <c r="G152" s="429">
        <v>800000</v>
      </c>
      <c r="H152" s="429">
        <f>[2]Nov!I167</f>
        <v>7920000</v>
      </c>
      <c r="I152" s="429">
        <f t="shared" si="47"/>
        <v>8720000</v>
      </c>
      <c r="J152" s="429">
        <f t="shared" si="48"/>
        <v>1480000</v>
      </c>
      <c r="K152" s="426"/>
    </row>
    <row r="153" spans="1:11" hidden="1" x14ac:dyDescent="0.25">
      <c r="A153" s="439"/>
      <c r="B153" s="427"/>
      <c r="C153" s="427"/>
      <c r="D153" s="426"/>
      <c r="E153" s="428"/>
      <c r="F153" s="429"/>
      <c r="G153" s="429"/>
      <c r="H153" s="429"/>
      <c r="I153" s="429"/>
      <c r="J153" s="429"/>
      <c r="K153" s="426"/>
    </row>
    <row r="154" spans="1:11" ht="38.25" x14ac:dyDescent="0.25">
      <c r="A154" s="438"/>
      <c r="B154" s="449" t="s">
        <v>432</v>
      </c>
      <c r="C154" s="438"/>
      <c r="D154" s="418"/>
      <c r="E154" s="484" t="s">
        <v>433</v>
      </c>
      <c r="F154" s="443">
        <f t="shared" ref="F154:J155" si="49">F155</f>
        <v>4205500</v>
      </c>
      <c r="G154" s="443">
        <f t="shared" si="49"/>
        <v>0</v>
      </c>
      <c r="H154" s="443">
        <f t="shared" si="49"/>
        <v>4205500</v>
      </c>
      <c r="I154" s="443">
        <f t="shared" si="49"/>
        <v>4205500</v>
      </c>
      <c r="J154" s="443">
        <f t="shared" si="49"/>
        <v>0</v>
      </c>
      <c r="K154" s="418"/>
    </row>
    <row r="155" spans="1:11" hidden="1" x14ac:dyDescent="0.25">
      <c r="A155" s="438"/>
      <c r="B155" s="419" t="s">
        <v>432</v>
      </c>
      <c r="C155" s="419" t="s">
        <v>359</v>
      </c>
      <c r="D155" s="418"/>
      <c r="E155" s="420" t="s">
        <v>67</v>
      </c>
      <c r="F155" s="421">
        <f t="shared" si="49"/>
        <v>4205500</v>
      </c>
      <c r="G155" s="421">
        <f t="shared" si="49"/>
        <v>0</v>
      </c>
      <c r="H155" s="421">
        <f t="shared" si="49"/>
        <v>4205500</v>
      </c>
      <c r="I155" s="421">
        <f t="shared" si="49"/>
        <v>4205500</v>
      </c>
      <c r="J155" s="421">
        <f t="shared" si="49"/>
        <v>0</v>
      </c>
      <c r="K155" s="418"/>
    </row>
    <row r="156" spans="1:11" hidden="1" x14ac:dyDescent="0.25">
      <c r="A156" s="440"/>
      <c r="B156" s="423" t="s">
        <v>432</v>
      </c>
      <c r="C156" s="423" t="s">
        <v>360</v>
      </c>
      <c r="D156" s="422"/>
      <c r="E156" s="424" t="s">
        <v>361</v>
      </c>
      <c r="F156" s="425">
        <f>SUM(F157:F158)</f>
        <v>4205500</v>
      </c>
      <c r="G156" s="425">
        <f>SUM(G157:G158)</f>
        <v>0</v>
      </c>
      <c r="H156" s="425">
        <f>SUM(H157:H158)</f>
        <v>4205500</v>
      </c>
      <c r="I156" s="425">
        <f>SUM(I157:I158)</f>
        <v>4205500</v>
      </c>
      <c r="J156" s="425">
        <f>SUM(J157:J158)</f>
        <v>0</v>
      </c>
      <c r="K156" s="422"/>
    </row>
    <row r="157" spans="1:11" hidden="1" x14ac:dyDescent="0.25">
      <c r="A157" s="439"/>
      <c r="B157" s="427" t="s">
        <v>432</v>
      </c>
      <c r="C157" s="427" t="s">
        <v>366</v>
      </c>
      <c r="D157" s="426"/>
      <c r="E157" s="428" t="s">
        <v>367</v>
      </c>
      <c r="F157" s="429">
        <v>793000</v>
      </c>
      <c r="G157" s="429">
        <v>0</v>
      </c>
      <c r="H157" s="429">
        <f>[2]Nov!I172</f>
        <v>793000</v>
      </c>
      <c r="I157" s="429">
        <f t="shared" ref="I157:I158" si="50">G157+H157</f>
        <v>793000</v>
      </c>
      <c r="J157" s="429">
        <f t="shared" ref="J157:J158" si="51">F157-I157</f>
        <v>0</v>
      </c>
      <c r="K157" s="426"/>
    </row>
    <row r="158" spans="1:11" hidden="1" x14ac:dyDescent="0.25">
      <c r="A158" s="450"/>
      <c r="B158" s="451" t="s">
        <v>432</v>
      </c>
      <c r="C158" s="451" t="s">
        <v>368</v>
      </c>
      <c r="D158" s="452"/>
      <c r="E158" s="453" t="s">
        <v>369</v>
      </c>
      <c r="F158" s="454">
        <v>3412500</v>
      </c>
      <c r="G158" s="454">
        <v>0</v>
      </c>
      <c r="H158" s="429">
        <f>[2]Nov!I173</f>
        <v>3412500</v>
      </c>
      <c r="I158" s="454">
        <f t="shared" si="50"/>
        <v>3412500</v>
      </c>
      <c r="J158" s="454">
        <f t="shared" si="51"/>
        <v>0</v>
      </c>
      <c r="K158" s="452"/>
    </row>
    <row r="159" spans="1:11" hidden="1" x14ac:dyDescent="0.25">
      <c r="A159" s="450"/>
      <c r="B159" s="451"/>
      <c r="C159" s="451"/>
      <c r="D159" s="452"/>
      <c r="E159" s="453"/>
      <c r="F159" s="454"/>
      <c r="G159" s="454"/>
      <c r="H159" s="429"/>
      <c r="I159" s="454"/>
      <c r="J159" s="454"/>
      <c r="K159" s="452"/>
    </row>
    <row r="160" spans="1:11" x14ac:dyDescent="0.25">
      <c r="A160" s="438"/>
      <c r="B160" s="419" t="s">
        <v>434</v>
      </c>
      <c r="C160" s="438"/>
      <c r="D160" s="418"/>
      <c r="E160" s="420" t="s">
        <v>435</v>
      </c>
      <c r="F160" s="421">
        <f>F161</f>
        <v>7156858</v>
      </c>
      <c r="G160" s="421">
        <f>G161</f>
        <v>696750</v>
      </c>
      <c r="H160" s="421">
        <f>H161</f>
        <v>5800000</v>
      </c>
      <c r="I160" s="421">
        <f>I161</f>
        <v>6496750</v>
      </c>
      <c r="J160" s="421">
        <f>J161</f>
        <v>660108</v>
      </c>
      <c r="K160" s="418"/>
    </row>
    <row r="161" spans="1:11" ht="0.75" customHeight="1" x14ac:dyDescent="0.25">
      <c r="A161" s="438"/>
      <c r="B161" s="419" t="s">
        <v>434</v>
      </c>
      <c r="C161" s="419" t="s">
        <v>359</v>
      </c>
      <c r="D161" s="418"/>
      <c r="E161" s="420" t="s">
        <v>67</v>
      </c>
      <c r="F161" s="421">
        <f>F162+F166</f>
        <v>7156858</v>
      </c>
      <c r="G161" s="421">
        <f>G162+G166</f>
        <v>696750</v>
      </c>
      <c r="H161" s="421">
        <f>H162+H166</f>
        <v>5800000</v>
      </c>
      <c r="I161" s="421">
        <f>I162+I166</f>
        <v>6496750</v>
      </c>
      <c r="J161" s="421">
        <f>J162+J166</f>
        <v>660108</v>
      </c>
      <c r="K161" s="418"/>
    </row>
    <row r="162" spans="1:11" hidden="1" x14ac:dyDescent="0.25">
      <c r="A162" s="440"/>
      <c r="B162" s="423" t="s">
        <v>434</v>
      </c>
      <c r="C162" s="423" t="s">
        <v>360</v>
      </c>
      <c r="D162" s="422"/>
      <c r="E162" s="424" t="s">
        <v>361</v>
      </c>
      <c r="F162" s="425">
        <f>SUM(F163:F165)</f>
        <v>2956858</v>
      </c>
      <c r="G162" s="425">
        <f>SUM(G163:G165)</f>
        <v>696750</v>
      </c>
      <c r="H162" s="425">
        <f>SUM(H163:H165)</f>
        <v>1600000</v>
      </c>
      <c r="I162" s="425">
        <f>SUM(I163:I165)</f>
        <v>2296750</v>
      </c>
      <c r="J162" s="425">
        <f>SUM(J163:J165)</f>
        <v>660108</v>
      </c>
      <c r="K162" s="422"/>
    </row>
    <row r="163" spans="1:11" hidden="1" x14ac:dyDescent="0.25">
      <c r="A163" s="439"/>
      <c r="B163" s="427" t="s">
        <v>434</v>
      </c>
      <c r="C163" s="427" t="s">
        <v>362</v>
      </c>
      <c r="D163" s="426"/>
      <c r="E163" s="428" t="s">
        <v>363</v>
      </c>
      <c r="F163" s="429">
        <v>500000</v>
      </c>
      <c r="G163" s="429">
        <v>300000</v>
      </c>
      <c r="H163" s="429">
        <f>[2]Nov!I181</f>
        <v>200000</v>
      </c>
      <c r="I163" s="429">
        <f t="shared" ref="I163:I165" si="52">G163+H163</f>
        <v>500000</v>
      </c>
      <c r="J163" s="429">
        <f t="shared" ref="J163:J165" si="53">F163-I163</f>
        <v>0</v>
      </c>
      <c r="K163" s="426"/>
    </row>
    <row r="164" spans="1:11" hidden="1" x14ac:dyDescent="0.25">
      <c r="A164" s="439"/>
      <c r="B164" s="427" t="s">
        <v>434</v>
      </c>
      <c r="C164" s="427" t="s">
        <v>366</v>
      </c>
      <c r="D164" s="426"/>
      <c r="E164" s="428" t="s">
        <v>367</v>
      </c>
      <c r="F164" s="429">
        <v>696858</v>
      </c>
      <c r="G164" s="429">
        <v>396750</v>
      </c>
      <c r="H164" s="429">
        <f>[2]Nov!I182</f>
        <v>300000</v>
      </c>
      <c r="I164" s="429">
        <f t="shared" si="52"/>
        <v>696750</v>
      </c>
      <c r="J164" s="429">
        <f t="shared" si="53"/>
        <v>108</v>
      </c>
      <c r="K164" s="426"/>
    </row>
    <row r="165" spans="1:11" hidden="1" x14ac:dyDescent="0.25">
      <c r="A165" s="439"/>
      <c r="B165" s="427" t="s">
        <v>434</v>
      </c>
      <c r="C165" s="427" t="s">
        <v>368</v>
      </c>
      <c r="D165" s="426"/>
      <c r="E165" s="428" t="s">
        <v>369</v>
      </c>
      <c r="F165" s="429">
        <v>1760000</v>
      </c>
      <c r="G165" s="429">
        <v>0</v>
      </c>
      <c r="H165" s="429">
        <f>[2]Nov!I183</f>
        <v>1100000</v>
      </c>
      <c r="I165" s="429">
        <f t="shared" si="52"/>
        <v>1100000</v>
      </c>
      <c r="J165" s="429">
        <f t="shared" si="53"/>
        <v>660000</v>
      </c>
      <c r="K165" s="426"/>
    </row>
    <row r="166" spans="1:11" hidden="1" x14ac:dyDescent="0.25">
      <c r="A166" s="440"/>
      <c r="B166" s="423" t="s">
        <v>434</v>
      </c>
      <c r="C166" s="423" t="s">
        <v>370</v>
      </c>
      <c r="D166" s="422"/>
      <c r="E166" s="424" t="s">
        <v>81</v>
      </c>
      <c r="F166" s="425">
        <f>SUM(F167)</f>
        <v>4200000</v>
      </c>
      <c r="G166" s="425">
        <f>SUM(G167)</f>
        <v>0</v>
      </c>
      <c r="H166" s="425">
        <f>SUM(H167)</f>
        <v>4200000</v>
      </c>
      <c r="I166" s="425">
        <f>SUM(I167)</f>
        <v>4200000</v>
      </c>
      <c r="J166" s="425">
        <f>SUM(J167)</f>
        <v>0</v>
      </c>
      <c r="K166" s="422"/>
    </row>
    <row r="167" spans="1:11" hidden="1" x14ac:dyDescent="0.25">
      <c r="A167" s="450"/>
      <c r="B167" s="451" t="s">
        <v>434</v>
      </c>
      <c r="C167" s="451" t="s">
        <v>436</v>
      </c>
      <c r="D167" s="452"/>
      <c r="E167" s="453" t="s">
        <v>437</v>
      </c>
      <c r="F167" s="454">
        <v>4200000</v>
      </c>
      <c r="G167" s="454">
        <v>0</v>
      </c>
      <c r="H167" s="429">
        <f>[2]Nov!I185</f>
        <v>4200000</v>
      </c>
      <c r="I167" s="454">
        <f t="shared" ref="I167" si="54">G167+H167</f>
        <v>4200000</v>
      </c>
      <c r="J167" s="454">
        <f t="shared" ref="J167" si="55">F167-I167</f>
        <v>0</v>
      </c>
      <c r="K167" s="452"/>
    </row>
    <row r="168" spans="1:11" hidden="1" x14ac:dyDescent="0.25">
      <c r="A168" s="439"/>
      <c r="B168" s="427"/>
      <c r="C168" s="427"/>
      <c r="D168" s="426"/>
      <c r="E168" s="428"/>
      <c r="F168" s="429"/>
      <c r="G168" s="429"/>
      <c r="H168" s="429"/>
      <c r="I168" s="429"/>
      <c r="J168" s="429"/>
      <c r="K168" s="426"/>
    </row>
    <row r="169" spans="1:11" ht="25.5" x14ac:dyDescent="0.25">
      <c r="A169" s="455"/>
      <c r="B169" s="460" t="s">
        <v>438</v>
      </c>
      <c r="C169" s="455"/>
      <c r="D169" s="457"/>
      <c r="E169" s="461" t="s">
        <v>439</v>
      </c>
      <c r="F169" s="462">
        <f t="shared" ref="F169:J170" si="56">F170</f>
        <v>1452500</v>
      </c>
      <c r="G169" s="462">
        <f t="shared" si="56"/>
        <v>350000</v>
      </c>
      <c r="H169" s="462">
        <f t="shared" si="56"/>
        <v>1102500</v>
      </c>
      <c r="I169" s="462">
        <f t="shared" si="56"/>
        <v>1452500</v>
      </c>
      <c r="J169" s="462">
        <f t="shared" si="56"/>
        <v>0</v>
      </c>
      <c r="K169" s="457"/>
    </row>
    <row r="170" spans="1:11" hidden="1" x14ac:dyDescent="0.25">
      <c r="A170" s="438"/>
      <c r="B170" s="419" t="s">
        <v>438</v>
      </c>
      <c r="C170" s="419" t="s">
        <v>359</v>
      </c>
      <c r="D170" s="418"/>
      <c r="E170" s="420" t="s">
        <v>67</v>
      </c>
      <c r="F170" s="421">
        <f t="shared" si="56"/>
        <v>1452500</v>
      </c>
      <c r="G170" s="421">
        <f t="shared" si="56"/>
        <v>350000</v>
      </c>
      <c r="H170" s="421">
        <f t="shared" si="56"/>
        <v>1102500</v>
      </c>
      <c r="I170" s="421">
        <f t="shared" si="56"/>
        <v>1452500</v>
      </c>
      <c r="J170" s="421">
        <f t="shared" si="56"/>
        <v>0</v>
      </c>
      <c r="K170" s="418"/>
    </row>
    <row r="171" spans="1:11" hidden="1" x14ac:dyDescent="0.25">
      <c r="A171" s="440"/>
      <c r="B171" s="423" t="s">
        <v>438</v>
      </c>
      <c r="C171" s="423" t="s">
        <v>360</v>
      </c>
      <c r="D171" s="422"/>
      <c r="E171" s="424" t="s">
        <v>361</v>
      </c>
      <c r="F171" s="425">
        <f>SUM(F172:F173)</f>
        <v>1452500</v>
      </c>
      <c r="G171" s="425">
        <f>SUM(G172:G173)</f>
        <v>350000</v>
      </c>
      <c r="H171" s="425">
        <f>SUM(H172:H173)</f>
        <v>1102500</v>
      </c>
      <c r="I171" s="425">
        <f>SUM(I172:I173)</f>
        <v>1452500</v>
      </c>
      <c r="J171" s="425">
        <f>SUM(J172:J173)</f>
        <v>0</v>
      </c>
      <c r="K171" s="422"/>
    </row>
    <row r="172" spans="1:11" hidden="1" x14ac:dyDescent="0.25">
      <c r="A172" s="439"/>
      <c r="B172" s="427" t="s">
        <v>438</v>
      </c>
      <c r="C172" s="427" t="s">
        <v>362</v>
      </c>
      <c r="D172" s="426"/>
      <c r="E172" s="428" t="s">
        <v>363</v>
      </c>
      <c r="F172" s="429">
        <v>550000</v>
      </c>
      <c r="G172" s="429">
        <v>150000</v>
      </c>
      <c r="H172" s="429">
        <f>[2]Nov!I190</f>
        <v>400000</v>
      </c>
      <c r="I172" s="429">
        <f t="shared" ref="I172:I173" si="57">G172+H172</f>
        <v>550000</v>
      </c>
      <c r="J172" s="429">
        <f t="shared" ref="J172:J173" si="58">F172-I172</f>
        <v>0</v>
      </c>
      <c r="K172" s="426"/>
    </row>
    <row r="173" spans="1:11" hidden="1" x14ac:dyDescent="0.25">
      <c r="A173" s="439"/>
      <c r="B173" s="427" t="s">
        <v>438</v>
      </c>
      <c r="C173" s="427" t="s">
        <v>366</v>
      </c>
      <c r="D173" s="426"/>
      <c r="E173" s="428" t="s">
        <v>367</v>
      </c>
      <c r="F173" s="429">
        <v>902500</v>
      </c>
      <c r="G173" s="429">
        <v>200000</v>
      </c>
      <c r="H173" s="429">
        <f>[2]Nov!I191</f>
        <v>702500</v>
      </c>
      <c r="I173" s="429">
        <f t="shared" si="57"/>
        <v>902500</v>
      </c>
      <c r="J173" s="429">
        <f t="shared" si="58"/>
        <v>0</v>
      </c>
      <c r="K173" s="426"/>
    </row>
    <row r="174" spans="1:11" hidden="1" x14ac:dyDescent="0.25">
      <c r="A174" s="439"/>
      <c r="B174" s="427"/>
      <c r="C174" s="427"/>
      <c r="D174" s="426"/>
      <c r="E174" s="428"/>
      <c r="F174" s="429"/>
      <c r="G174" s="429"/>
      <c r="H174" s="429"/>
      <c r="I174" s="429"/>
      <c r="J174" s="429"/>
      <c r="K174" s="426"/>
    </row>
    <row r="175" spans="1:11" ht="25.5" x14ac:dyDescent="0.25">
      <c r="A175" s="438"/>
      <c r="B175" s="449" t="s">
        <v>440</v>
      </c>
      <c r="C175" s="438"/>
      <c r="D175" s="418"/>
      <c r="E175" s="484" t="s">
        <v>441</v>
      </c>
      <c r="F175" s="443">
        <f t="shared" ref="F175:J176" si="59">F176</f>
        <v>260000</v>
      </c>
      <c r="G175" s="443">
        <f t="shared" si="59"/>
        <v>260000</v>
      </c>
      <c r="H175" s="443">
        <f t="shared" si="59"/>
        <v>0</v>
      </c>
      <c r="I175" s="443">
        <f t="shared" si="59"/>
        <v>260000</v>
      </c>
      <c r="J175" s="443">
        <f t="shared" si="59"/>
        <v>0</v>
      </c>
      <c r="K175" s="418"/>
    </row>
    <row r="176" spans="1:11" hidden="1" x14ac:dyDescent="0.25">
      <c r="A176" s="438"/>
      <c r="B176" s="419" t="s">
        <v>440</v>
      </c>
      <c r="C176" s="419" t="s">
        <v>359</v>
      </c>
      <c r="D176" s="418"/>
      <c r="E176" s="420" t="s">
        <v>67</v>
      </c>
      <c r="F176" s="421">
        <f t="shared" si="59"/>
        <v>260000</v>
      </c>
      <c r="G176" s="421">
        <f t="shared" si="59"/>
        <v>260000</v>
      </c>
      <c r="H176" s="421">
        <f t="shared" si="59"/>
        <v>0</v>
      </c>
      <c r="I176" s="421">
        <f t="shared" si="59"/>
        <v>260000</v>
      </c>
      <c r="J176" s="421">
        <f t="shared" si="59"/>
        <v>0</v>
      </c>
      <c r="K176" s="418"/>
    </row>
    <row r="177" spans="1:11" hidden="1" x14ac:dyDescent="0.25">
      <c r="A177" s="440"/>
      <c r="B177" s="423" t="s">
        <v>440</v>
      </c>
      <c r="C177" s="423" t="s">
        <v>360</v>
      </c>
      <c r="D177" s="422"/>
      <c r="E177" s="424" t="s">
        <v>361</v>
      </c>
      <c r="F177" s="425">
        <f>SUM(F178:F179)</f>
        <v>260000</v>
      </c>
      <c r="G177" s="425">
        <f>SUM(G178:G179)</f>
        <v>260000</v>
      </c>
      <c r="H177" s="425">
        <f>SUM(H178:H179)</f>
        <v>0</v>
      </c>
      <c r="I177" s="425">
        <f>SUM(I178:I179)</f>
        <v>260000</v>
      </c>
      <c r="J177" s="425">
        <f>SUM(J178:J179)</f>
        <v>0</v>
      </c>
      <c r="K177" s="422"/>
    </row>
    <row r="178" spans="1:11" hidden="1" x14ac:dyDescent="0.25">
      <c r="A178" s="439"/>
      <c r="B178" s="427" t="s">
        <v>440</v>
      </c>
      <c r="C178" s="427" t="s">
        <v>362</v>
      </c>
      <c r="D178" s="426"/>
      <c r="E178" s="428" t="s">
        <v>363</v>
      </c>
      <c r="F178" s="429">
        <v>110000</v>
      </c>
      <c r="G178" s="429">
        <v>110000</v>
      </c>
      <c r="H178" s="429">
        <f>[2]Nov!I196</f>
        <v>0</v>
      </c>
      <c r="I178" s="429">
        <f t="shared" ref="I178:I179" si="60">G178+H178</f>
        <v>110000</v>
      </c>
      <c r="J178" s="429">
        <f t="shared" ref="J178:J179" si="61">F178-I178</f>
        <v>0</v>
      </c>
      <c r="K178" s="426"/>
    </row>
    <row r="179" spans="1:11" hidden="1" x14ac:dyDescent="0.25">
      <c r="A179" s="439"/>
      <c r="B179" s="427" t="s">
        <v>440</v>
      </c>
      <c r="C179" s="427" t="s">
        <v>366</v>
      </c>
      <c r="D179" s="426"/>
      <c r="E179" s="428" t="s">
        <v>367</v>
      </c>
      <c r="F179" s="429">
        <v>150000</v>
      </c>
      <c r="G179" s="429">
        <v>150000</v>
      </c>
      <c r="H179" s="429">
        <f>[2]Nov!I197</f>
        <v>0</v>
      </c>
      <c r="I179" s="429">
        <f t="shared" si="60"/>
        <v>150000</v>
      </c>
      <c r="J179" s="429">
        <f t="shared" si="61"/>
        <v>0</v>
      </c>
      <c r="K179" s="426"/>
    </row>
    <row r="180" spans="1:11" hidden="1" x14ac:dyDescent="0.25">
      <c r="A180" s="439"/>
      <c r="B180" s="427"/>
      <c r="C180" s="427"/>
      <c r="D180" s="426"/>
      <c r="E180" s="428"/>
      <c r="F180" s="429"/>
      <c r="G180" s="429"/>
      <c r="H180" s="429"/>
      <c r="I180" s="429"/>
      <c r="J180" s="429"/>
      <c r="K180" s="426"/>
    </row>
    <row r="181" spans="1:11" ht="38.25" x14ac:dyDescent="0.25">
      <c r="A181" s="438"/>
      <c r="B181" s="449" t="s">
        <v>442</v>
      </c>
      <c r="C181" s="438"/>
      <c r="D181" s="418"/>
      <c r="E181" s="484" t="s">
        <v>443</v>
      </c>
      <c r="F181" s="443">
        <f t="shared" ref="F181:J182" si="62">F182</f>
        <v>160000</v>
      </c>
      <c r="G181" s="443">
        <f t="shared" si="62"/>
        <v>0</v>
      </c>
      <c r="H181" s="443">
        <f t="shared" si="62"/>
        <v>160000</v>
      </c>
      <c r="I181" s="443">
        <f t="shared" si="62"/>
        <v>160000</v>
      </c>
      <c r="J181" s="443">
        <f t="shared" si="62"/>
        <v>0</v>
      </c>
      <c r="K181" s="418"/>
    </row>
    <row r="182" spans="1:11" hidden="1" x14ac:dyDescent="0.25">
      <c r="A182" s="438"/>
      <c r="B182" s="419" t="s">
        <v>442</v>
      </c>
      <c r="C182" s="419" t="s">
        <v>359</v>
      </c>
      <c r="D182" s="418"/>
      <c r="E182" s="420" t="s">
        <v>67</v>
      </c>
      <c r="F182" s="421">
        <f t="shared" si="62"/>
        <v>160000</v>
      </c>
      <c r="G182" s="421">
        <f t="shared" si="62"/>
        <v>0</v>
      </c>
      <c r="H182" s="421">
        <f t="shared" si="62"/>
        <v>160000</v>
      </c>
      <c r="I182" s="421">
        <f t="shared" si="62"/>
        <v>160000</v>
      </c>
      <c r="J182" s="421">
        <f t="shared" si="62"/>
        <v>0</v>
      </c>
      <c r="K182" s="418"/>
    </row>
    <row r="183" spans="1:11" hidden="1" x14ac:dyDescent="0.25">
      <c r="A183" s="440"/>
      <c r="B183" s="423" t="s">
        <v>442</v>
      </c>
      <c r="C183" s="423" t="s">
        <v>360</v>
      </c>
      <c r="D183" s="422"/>
      <c r="E183" s="424" t="s">
        <v>361</v>
      </c>
      <c r="F183" s="425">
        <f>SUM(F184:F185)</f>
        <v>160000</v>
      </c>
      <c r="G183" s="425">
        <f>SUM(G184:G185)</f>
        <v>0</v>
      </c>
      <c r="H183" s="425">
        <f>SUM(H184:H185)</f>
        <v>160000</v>
      </c>
      <c r="I183" s="425">
        <f>SUM(I184:I185)</f>
        <v>160000</v>
      </c>
      <c r="J183" s="425">
        <f>SUM(J184:J185)</f>
        <v>0</v>
      </c>
      <c r="K183" s="422"/>
    </row>
    <row r="184" spans="1:11" hidden="1" x14ac:dyDescent="0.25">
      <c r="A184" s="439"/>
      <c r="B184" s="427" t="s">
        <v>442</v>
      </c>
      <c r="C184" s="427" t="s">
        <v>362</v>
      </c>
      <c r="D184" s="426"/>
      <c r="E184" s="428" t="s">
        <v>363</v>
      </c>
      <c r="F184" s="429">
        <v>60000</v>
      </c>
      <c r="G184" s="429">
        <v>0</v>
      </c>
      <c r="H184" s="429">
        <f>[2]Nov!I202</f>
        <v>60000</v>
      </c>
      <c r="I184" s="429">
        <f t="shared" ref="I184:I185" si="63">G184+H184</f>
        <v>60000</v>
      </c>
      <c r="J184" s="429">
        <f t="shared" ref="J184:J185" si="64">F184-I184</f>
        <v>0</v>
      </c>
      <c r="K184" s="426"/>
    </row>
    <row r="185" spans="1:11" hidden="1" x14ac:dyDescent="0.25">
      <c r="A185" s="439"/>
      <c r="B185" s="427" t="s">
        <v>442</v>
      </c>
      <c r="C185" s="427" t="s">
        <v>366</v>
      </c>
      <c r="D185" s="426"/>
      <c r="E185" s="428" t="s">
        <v>367</v>
      </c>
      <c r="F185" s="429">
        <v>100000</v>
      </c>
      <c r="G185" s="429">
        <v>0</v>
      </c>
      <c r="H185" s="429">
        <f>[2]Nov!I203</f>
        <v>100000</v>
      </c>
      <c r="I185" s="429">
        <f t="shared" si="63"/>
        <v>100000</v>
      </c>
      <c r="J185" s="429">
        <f t="shared" si="64"/>
        <v>0</v>
      </c>
      <c r="K185" s="426"/>
    </row>
    <row r="186" spans="1:11" hidden="1" x14ac:dyDescent="0.25">
      <c r="A186" s="439"/>
      <c r="B186" s="427"/>
      <c r="C186" s="427"/>
      <c r="D186" s="426"/>
      <c r="E186" s="428"/>
      <c r="F186" s="429"/>
      <c r="G186" s="429"/>
      <c r="H186" s="429"/>
      <c r="I186" s="429"/>
      <c r="J186" s="429"/>
      <c r="K186" s="426"/>
    </row>
    <row r="187" spans="1:11" x14ac:dyDescent="0.25">
      <c r="A187" s="438"/>
      <c r="B187" s="419" t="s">
        <v>444</v>
      </c>
      <c r="C187" s="438"/>
      <c r="D187" s="418"/>
      <c r="E187" s="420" t="s">
        <v>445</v>
      </c>
      <c r="F187" s="421">
        <f>F188+F191</f>
        <v>24500000</v>
      </c>
      <c r="G187" s="421">
        <f>G188+G191</f>
        <v>22471550</v>
      </c>
      <c r="H187" s="421">
        <f>H188+H191</f>
        <v>1250000</v>
      </c>
      <c r="I187" s="421">
        <f>I188+I191</f>
        <v>23721550</v>
      </c>
      <c r="J187" s="421">
        <f>J188+J191</f>
        <v>778450</v>
      </c>
      <c r="K187" s="418"/>
    </row>
    <row r="188" spans="1:11" hidden="1" x14ac:dyDescent="0.25">
      <c r="A188" s="438"/>
      <c r="B188" s="419" t="s">
        <v>444</v>
      </c>
      <c r="C188" s="419" t="s">
        <v>359</v>
      </c>
      <c r="D188" s="418"/>
      <c r="E188" s="420" t="s">
        <v>67</v>
      </c>
      <c r="F188" s="421">
        <f>F189</f>
        <v>2000000</v>
      </c>
      <c r="G188" s="421">
        <f>G189</f>
        <v>750000</v>
      </c>
      <c r="H188" s="421">
        <f>H189</f>
        <v>1250000</v>
      </c>
      <c r="I188" s="421">
        <f>I189</f>
        <v>2000000</v>
      </c>
      <c r="J188" s="421">
        <f>J189</f>
        <v>0</v>
      </c>
      <c r="K188" s="418"/>
    </row>
    <row r="189" spans="1:11" hidden="1" x14ac:dyDescent="0.25">
      <c r="A189" s="440"/>
      <c r="B189" s="423" t="s">
        <v>444</v>
      </c>
      <c r="C189" s="423" t="s">
        <v>370</v>
      </c>
      <c r="D189" s="422"/>
      <c r="E189" s="424" t="s">
        <v>81</v>
      </c>
      <c r="F189" s="425">
        <f>SUM(F190)</f>
        <v>2000000</v>
      </c>
      <c r="G189" s="425">
        <f>SUM(G190)</f>
        <v>750000</v>
      </c>
      <c r="H189" s="425">
        <f>SUM(H190)</f>
        <v>1250000</v>
      </c>
      <c r="I189" s="425">
        <f>SUM(I190)</f>
        <v>2000000</v>
      </c>
      <c r="J189" s="425">
        <f>SUM(J190)</f>
        <v>0</v>
      </c>
      <c r="K189" s="422"/>
    </row>
    <row r="190" spans="1:11" hidden="1" x14ac:dyDescent="0.25">
      <c r="A190" s="439"/>
      <c r="B190" s="427" t="s">
        <v>444</v>
      </c>
      <c r="C190" s="427" t="s">
        <v>446</v>
      </c>
      <c r="D190" s="426"/>
      <c r="E190" s="428" t="s">
        <v>447</v>
      </c>
      <c r="F190" s="429">
        <v>2000000</v>
      </c>
      <c r="G190" s="429">
        <v>750000</v>
      </c>
      <c r="H190" s="429">
        <f>[2]Nov!I208</f>
        <v>1250000</v>
      </c>
      <c r="I190" s="429">
        <f t="shared" ref="I190" si="65">G190+H190</f>
        <v>2000000</v>
      </c>
      <c r="J190" s="429">
        <f t="shared" ref="J190" si="66">F190-I190</f>
        <v>0</v>
      </c>
      <c r="K190" s="426"/>
    </row>
    <row r="191" spans="1:11" hidden="1" x14ac:dyDescent="0.25">
      <c r="A191" s="438"/>
      <c r="B191" s="419" t="s">
        <v>444</v>
      </c>
      <c r="C191" s="419" t="s">
        <v>404</v>
      </c>
      <c r="D191" s="418"/>
      <c r="E191" s="420" t="s">
        <v>68</v>
      </c>
      <c r="F191" s="421">
        <f>F192</f>
        <v>22500000</v>
      </c>
      <c r="G191" s="421">
        <f>G192</f>
        <v>21721550</v>
      </c>
      <c r="H191" s="421">
        <f>H192</f>
        <v>0</v>
      </c>
      <c r="I191" s="421">
        <f>I192</f>
        <v>21721550</v>
      </c>
      <c r="J191" s="421">
        <f>J192</f>
        <v>778450</v>
      </c>
      <c r="K191" s="418"/>
    </row>
    <row r="192" spans="1:11" hidden="1" x14ac:dyDescent="0.25">
      <c r="A192" s="440"/>
      <c r="B192" s="423" t="s">
        <v>444</v>
      </c>
      <c r="C192" s="423" t="s">
        <v>448</v>
      </c>
      <c r="D192" s="422"/>
      <c r="E192" s="424" t="s">
        <v>89</v>
      </c>
      <c r="F192" s="425">
        <f>SUM(F193)</f>
        <v>22500000</v>
      </c>
      <c r="G192" s="425">
        <f>SUM(G193)</f>
        <v>21721550</v>
      </c>
      <c r="H192" s="425">
        <f>SUM(H193)</f>
        <v>0</v>
      </c>
      <c r="I192" s="425">
        <f>SUM(I193)</f>
        <v>21721550</v>
      </c>
      <c r="J192" s="425">
        <f>SUM(J193)</f>
        <v>778450</v>
      </c>
      <c r="K192" s="422"/>
    </row>
    <row r="193" spans="1:11" hidden="1" x14ac:dyDescent="0.25">
      <c r="A193" s="439"/>
      <c r="B193" s="427" t="s">
        <v>444</v>
      </c>
      <c r="C193" s="427" t="s">
        <v>449</v>
      </c>
      <c r="D193" s="426"/>
      <c r="E193" s="428" t="s">
        <v>450</v>
      </c>
      <c r="F193" s="429">
        <v>22500000</v>
      </c>
      <c r="G193" s="429">
        <f>22500000-778450</f>
        <v>21721550</v>
      </c>
      <c r="H193" s="429">
        <f>[2]Nov!I211</f>
        <v>0</v>
      </c>
      <c r="I193" s="429">
        <f t="shared" ref="I193" si="67">G193+H193</f>
        <v>21721550</v>
      </c>
      <c r="J193" s="429">
        <f t="shared" ref="J193" si="68">F193-I193</f>
        <v>778450</v>
      </c>
      <c r="K193" s="426"/>
    </row>
    <row r="194" spans="1:11" hidden="1" x14ac:dyDescent="0.25">
      <c r="A194" s="439"/>
      <c r="B194" s="427"/>
      <c r="C194" s="427"/>
      <c r="D194" s="426"/>
      <c r="E194" s="428"/>
      <c r="F194" s="429"/>
      <c r="G194" s="429"/>
      <c r="H194" s="429"/>
      <c r="I194" s="429"/>
      <c r="J194" s="429"/>
      <c r="K194" s="426"/>
    </row>
    <row r="195" spans="1:11" x14ac:dyDescent="0.25">
      <c r="A195" s="438"/>
      <c r="B195" s="419" t="s">
        <v>451</v>
      </c>
      <c r="C195" s="438"/>
      <c r="D195" s="418"/>
      <c r="E195" s="420" t="s">
        <v>452</v>
      </c>
      <c r="F195" s="421">
        <f t="shared" ref="F195:J196" si="69">F196</f>
        <v>1955000</v>
      </c>
      <c r="G195" s="421">
        <f t="shared" si="69"/>
        <v>551500</v>
      </c>
      <c r="H195" s="421">
        <f t="shared" si="69"/>
        <v>1403500</v>
      </c>
      <c r="I195" s="421">
        <f t="shared" si="69"/>
        <v>1955000</v>
      </c>
      <c r="J195" s="421">
        <f t="shared" si="69"/>
        <v>0</v>
      </c>
      <c r="K195" s="418"/>
    </row>
    <row r="196" spans="1:11" hidden="1" x14ac:dyDescent="0.25">
      <c r="A196" s="438"/>
      <c r="B196" s="419" t="s">
        <v>451</v>
      </c>
      <c r="C196" s="419" t="s">
        <v>359</v>
      </c>
      <c r="D196" s="418"/>
      <c r="E196" s="420" t="s">
        <v>67</v>
      </c>
      <c r="F196" s="421">
        <f t="shared" si="69"/>
        <v>1955000</v>
      </c>
      <c r="G196" s="421">
        <f t="shared" si="69"/>
        <v>551500</v>
      </c>
      <c r="H196" s="421">
        <f t="shared" si="69"/>
        <v>1403500</v>
      </c>
      <c r="I196" s="421">
        <f t="shared" si="69"/>
        <v>1955000</v>
      </c>
      <c r="J196" s="421">
        <f t="shared" si="69"/>
        <v>0</v>
      </c>
      <c r="K196" s="418"/>
    </row>
    <row r="197" spans="1:11" hidden="1" x14ac:dyDescent="0.25">
      <c r="A197" s="440"/>
      <c r="B197" s="423" t="s">
        <v>451</v>
      </c>
      <c r="C197" s="423" t="s">
        <v>360</v>
      </c>
      <c r="D197" s="422"/>
      <c r="E197" s="424" t="s">
        <v>361</v>
      </c>
      <c r="F197" s="425">
        <f>SUM(F198:F199)</f>
        <v>1955000</v>
      </c>
      <c r="G197" s="425">
        <f>SUM(G198:G199)</f>
        <v>551500</v>
      </c>
      <c r="H197" s="425">
        <f>SUM(H198:H199)</f>
        <v>1403500</v>
      </c>
      <c r="I197" s="425">
        <f>SUM(I198:I199)</f>
        <v>1955000</v>
      </c>
      <c r="J197" s="425">
        <f>SUM(J198:J199)</f>
        <v>0</v>
      </c>
      <c r="K197" s="422"/>
    </row>
    <row r="198" spans="1:11" hidden="1" x14ac:dyDescent="0.25">
      <c r="A198" s="439"/>
      <c r="B198" s="427" t="s">
        <v>451</v>
      </c>
      <c r="C198" s="427" t="s">
        <v>362</v>
      </c>
      <c r="D198" s="426"/>
      <c r="E198" s="428" t="s">
        <v>363</v>
      </c>
      <c r="F198" s="429">
        <v>660000</v>
      </c>
      <c r="G198" s="429">
        <v>180000</v>
      </c>
      <c r="H198" s="429">
        <f>[2]Nov!I216</f>
        <v>480000</v>
      </c>
      <c r="I198" s="429">
        <f t="shared" ref="I198:I199" si="70">G198+H198</f>
        <v>660000</v>
      </c>
      <c r="J198" s="429">
        <f t="shared" ref="J198:J199" si="71">F198-I198</f>
        <v>0</v>
      </c>
      <c r="K198" s="426"/>
    </row>
    <row r="199" spans="1:11" hidden="1" x14ac:dyDescent="0.25">
      <c r="A199" s="439"/>
      <c r="B199" s="427" t="s">
        <v>451</v>
      </c>
      <c r="C199" s="427" t="s">
        <v>366</v>
      </c>
      <c r="D199" s="426"/>
      <c r="E199" s="428" t="s">
        <v>367</v>
      </c>
      <c r="F199" s="429">
        <v>1295000</v>
      </c>
      <c r="G199" s="429">
        <v>371500</v>
      </c>
      <c r="H199" s="429">
        <f>[2]Nov!I217</f>
        <v>923500</v>
      </c>
      <c r="I199" s="429">
        <f t="shared" si="70"/>
        <v>1295000</v>
      </c>
      <c r="J199" s="429">
        <f t="shared" si="71"/>
        <v>0</v>
      </c>
      <c r="K199" s="426"/>
    </row>
    <row r="200" spans="1:11" hidden="1" x14ac:dyDescent="0.25">
      <c r="A200" s="439"/>
      <c r="B200" s="427"/>
      <c r="C200" s="427"/>
      <c r="D200" s="426"/>
      <c r="E200" s="428"/>
      <c r="F200" s="429"/>
      <c r="G200" s="429"/>
      <c r="H200" s="429"/>
      <c r="I200" s="429"/>
      <c r="J200" s="429"/>
      <c r="K200" s="426"/>
    </row>
    <row r="201" spans="1:11" ht="14.25" customHeight="1" x14ac:dyDescent="0.25">
      <c r="A201" s="438"/>
      <c r="B201" s="419" t="s">
        <v>453</v>
      </c>
      <c r="C201" s="438"/>
      <c r="D201" s="418"/>
      <c r="E201" s="420" t="s">
        <v>454</v>
      </c>
      <c r="F201" s="421">
        <f>F202</f>
        <v>485000</v>
      </c>
      <c r="G201" s="421">
        <f>G202</f>
        <v>0</v>
      </c>
      <c r="H201" s="421">
        <f>H202</f>
        <v>485000</v>
      </c>
      <c r="I201" s="421">
        <f>I202</f>
        <v>485000</v>
      </c>
      <c r="J201" s="421">
        <f>J202</f>
        <v>0</v>
      </c>
      <c r="K201" s="418"/>
    </row>
    <row r="202" spans="1:11" hidden="1" x14ac:dyDescent="0.25">
      <c r="A202" s="438"/>
      <c r="B202" s="419" t="s">
        <v>453</v>
      </c>
      <c r="C202" s="419" t="s">
        <v>359</v>
      </c>
      <c r="D202" s="418"/>
      <c r="E202" s="420" t="s">
        <v>67</v>
      </c>
      <c r="F202" s="421">
        <f>F203+F207+F210</f>
        <v>485000</v>
      </c>
      <c r="G202" s="421">
        <f>G203+G207+G210</f>
        <v>0</v>
      </c>
      <c r="H202" s="421">
        <f>H203+H207+H210</f>
        <v>485000</v>
      </c>
      <c r="I202" s="421">
        <f>I203+I207+I210</f>
        <v>485000</v>
      </c>
      <c r="J202" s="421">
        <f>J203+J207+J210</f>
        <v>0</v>
      </c>
      <c r="K202" s="418"/>
    </row>
    <row r="203" spans="1:11" hidden="1" x14ac:dyDescent="0.25">
      <c r="A203" s="440"/>
      <c r="B203" s="423" t="s">
        <v>453</v>
      </c>
      <c r="C203" s="423" t="s">
        <v>360</v>
      </c>
      <c r="D203" s="422"/>
      <c r="E203" s="424" t="s">
        <v>361</v>
      </c>
      <c r="F203" s="425">
        <f>SUM(F204:F206)</f>
        <v>485000</v>
      </c>
      <c r="G203" s="425">
        <f>SUM(G204:G206)</f>
        <v>0</v>
      </c>
      <c r="H203" s="425">
        <f>SUM(H204:H206)</f>
        <v>485000</v>
      </c>
      <c r="I203" s="425">
        <f>SUM(I204:I206)</f>
        <v>485000</v>
      </c>
      <c r="J203" s="425">
        <f>SUM(J204:J206)</f>
        <v>0</v>
      </c>
      <c r="K203" s="422"/>
    </row>
    <row r="204" spans="1:11" hidden="1" x14ac:dyDescent="0.25">
      <c r="A204" s="439"/>
      <c r="B204" s="427" t="s">
        <v>453</v>
      </c>
      <c r="C204" s="427" t="s">
        <v>362</v>
      </c>
      <c r="D204" s="426"/>
      <c r="E204" s="428" t="s">
        <v>363</v>
      </c>
      <c r="F204" s="429">
        <v>185000</v>
      </c>
      <c r="G204" s="429">
        <v>0</v>
      </c>
      <c r="H204" s="429">
        <f>[2]Nov!I224</f>
        <v>185000</v>
      </c>
      <c r="I204" s="429">
        <f t="shared" ref="I204:I206" si="72">G204+H204</f>
        <v>185000</v>
      </c>
      <c r="J204" s="429">
        <f t="shared" ref="J204:J206" si="73">F204-I204</f>
        <v>0</v>
      </c>
      <c r="K204" s="426"/>
    </row>
    <row r="205" spans="1:11" hidden="1" x14ac:dyDescent="0.25">
      <c r="A205" s="439"/>
      <c r="B205" s="427" t="s">
        <v>453</v>
      </c>
      <c r="C205" s="427" t="s">
        <v>366</v>
      </c>
      <c r="D205" s="426"/>
      <c r="E205" s="428" t="s">
        <v>367</v>
      </c>
      <c r="F205" s="429">
        <v>0</v>
      </c>
      <c r="G205" s="429">
        <v>0</v>
      </c>
      <c r="H205" s="429">
        <f>[2]Nov!I225</f>
        <v>0</v>
      </c>
      <c r="I205" s="429">
        <f t="shared" si="72"/>
        <v>0</v>
      </c>
      <c r="J205" s="429">
        <f t="shared" si="73"/>
        <v>0</v>
      </c>
      <c r="K205" s="426"/>
    </row>
    <row r="206" spans="1:11" hidden="1" x14ac:dyDescent="0.25">
      <c r="A206" s="450"/>
      <c r="B206" s="451" t="s">
        <v>453</v>
      </c>
      <c r="C206" s="451" t="s">
        <v>368</v>
      </c>
      <c r="D206" s="452"/>
      <c r="E206" s="453" t="s">
        <v>369</v>
      </c>
      <c r="F206" s="454">
        <v>300000</v>
      </c>
      <c r="G206" s="454">
        <v>0</v>
      </c>
      <c r="H206" s="429">
        <f>[2]Nov!I226</f>
        <v>300000</v>
      </c>
      <c r="I206" s="454">
        <f t="shared" si="72"/>
        <v>300000</v>
      </c>
      <c r="J206" s="454">
        <f t="shared" si="73"/>
        <v>0</v>
      </c>
      <c r="K206" s="452"/>
    </row>
    <row r="207" spans="1:11" hidden="1" x14ac:dyDescent="0.25">
      <c r="A207" s="440"/>
      <c r="B207" s="423" t="s">
        <v>453</v>
      </c>
      <c r="C207" s="423" t="s">
        <v>370</v>
      </c>
      <c r="D207" s="422"/>
      <c r="E207" s="424" t="s">
        <v>81</v>
      </c>
      <c r="F207" s="425">
        <f>SUM(F208:F209)</f>
        <v>0</v>
      </c>
      <c r="G207" s="425">
        <f>SUM(G208:G209)</f>
        <v>0</v>
      </c>
      <c r="H207" s="425">
        <f>SUM(H208:H209)</f>
        <v>0</v>
      </c>
      <c r="I207" s="425">
        <f>SUM(I208:I209)</f>
        <v>0</v>
      </c>
      <c r="J207" s="425">
        <f>SUM(J208:J209)</f>
        <v>0</v>
      </c>
      <c r="K207" s="422"/>
    </row>
    <row r="208" spans="1:11" hidden="1" x14ac:dyDescent="0.25">
      <c r="A208" s="439"/>
      <c r="B208" s="427" t="s">
        <v>453</v>
      </c>
      <c r="C208" s="427" t="s">
        <v>436</v>
      </c>
      <c r="D208" s="426"/>
      <c r="E208" s="428" t="s">
        <v>437</v>
      </c>
      <c r="F208" s="429">
        <v>0</v>
      </c>
      <c r="G208" s="429">
        <v>0</v>
      </c>
      <c r="H208" s="429">
        <f>[2]Nov!I228</f>
        <v>0</v>
      </c>
      <c r="I208" s="429">
        <f t="shared" ref="I208:I209" si="74">G208+H208</f>
        <v>0</v>
      </c>
      <c r="J208" s="429">
        <f t="shared" ref="J208:J209" si="75">F208-I208</f>
        <v>0</v>
      </c>
      <c r="K208" s="426"/>
    </row>
    <row r="209" spans="1:11" hidden="1" x14ac:dyDescent="0.25">
      <c r="A209" s="439"/>
      <c r="B209" s="427" t="s">
        <v>453</v>
      </c>
      <c r="C209" s="427" t="s">
        <v>422</v>
      </c>
      <c r="D209" s="426"/>
      <c r="E209" s="428" t="s">
        <v>423</v>
      </c>
      <c r="F209" s="429">
        <v>0</v>
      </c>
      <c r="G209" s="429">
        <v>0</v>
      </c>
      <c r="H209" s="429">
        <f>[2]Nov!I229</f>
        <v>0</v>
      </c>
      <c r="I209" s="429">
        <f t="shared" si="74"/>
        <v>0</v>
      </c>
      <c r="J209" s="429">
        <f t="shared" si="75"/>
        <v>0</v>
      </c>
      <c r="K209" s="426"/>
    </row>
    <row r="210" spans="1:11" hidden="1" x14ac:dyDescent="0.25">
      <c r="A210" s="440"/>
      <c r="B210" s="423" t="s">
        <v>453</v>
      </c>
      <c r="C210" s="423" t="s">
        <v>455</v>
      </c>
      <c r="D210" s="422"/>
      <c r="E210" s="424" t="s">
        <v>83</v>
      </c>
      <c r="F210" s="425">
        <f>SUM(F211)</f>
        <v>0</v>
      </c>
      <c r="G210" s="425">
        <f>SUM(G211)</f>
        <v>0</v>
      </c>
      <c r="H210" s="425">
        <f>SUM(H211)</f>
        <v>0</v>
      </c>
      <c r="I210" s="425">
        <f>SUM(I211)</f>
        <v>0</v>
      </c>
      <c r="J210" s="425">
        <f>SUM(J211)</f>
        <v>0</v>
      </c>
      <c r="K210" s="422"/>
    </row>
    <row r="211" spans="1:11" hidden="1" x14ac:dyDescent="0.25">
      <c r="A211" s="439"/>
      <c r="B211" s="427" t="s">
        <v>453</v>
      </c>
      <c r="C211" s="427" t="s">
        <v>456</v>
      </c>
      <c r="D211" s="426"/>
      <c r="E211" s="428" t="s">
        <v>457</v>
      </c>
      <c r="F211" s="429">
        <v>0</v>
      </c>
      <c r="G211" s="429">
        <v>0</v>
      </c>
      <c r="H211" s="429">
        <f>[2]Nov!I231</f>
        <v>0</v>
      </c>
      <c r="I211" s="429">
        <f t="shared" ref="I211" si="76">G211+H211</f>
        <v>0</v>
      </c>
      <c r="J211" s="429">
        <f t="shared" ref="J211" si="77">F211-I211</f>
        <v>0</v>
      </c>
      <c r="K211" s="426"/>
    </row>
    <row r="212" spans="1:11" hidden="1" x14ac:dyDescent="0.25">
      <c r="A212" s="439"/>
      <c r="B212" s="427"/>
      <c r="C212" s="427"/>
      <c r="D212" s="426"/>
      <c r="E212" s="428"/>
      <c r="F212" s="429"/>
      <c r="G212" s="429"/>
      <c r="H212" s="429"/>
      <c r="I212" s="429"/>
      <c r="J212" s="429"/>
      <c r="K212" s="426"/>
    </row>
    <row r="213" spans="1:11" x14ac:dyDescent="0.25">
      <c r="A213" s="438"/>
      <c r="B213" s="419" t="s">
        <v>458</v>
      </c>
      <c r="C213" s="438"/>
      <c r="D213" s="418"/>
      <c r="E213" s="420" t="s">
        <v>459</v>
      </c>
      <c r="F213" s="421">
        <f t="shared" ref="F213:J214" si="78">F214</f>
        <v>27636000</v>
      </c>
      <c r="G213" s="421">
        <f t="shared" si="78"/>
        <v>6820000</v>
      </c>
      <c r="H213" s="421">
        <f t="shared" si="78"/>
        <v>20816000</v>
      </c>
      <c r="I213" s="421">
        <f t="shared" si="78"/>
        <v>27636000</v>
      </c>
      <c r="J213" s="421">
        <f t="shared" si="78"/>
        <v>0</v>
      </c>
      <c r="K213" s="418"/>
    </row>
    <row r="214" spans="1:11" hidden="1" x14ac:dyDescent="0.25">
      <c r="A214" s="438"/>
      <c r="B214" s="419" t="s">
        <v>458</v>
      </c>
      <c r="C214" s="419" t="s">
        <v>359</v>
      </c>
      <c r="D214" s="418"/>
      <c r="E214" s="420" t="s">
        <v>67</v>
      </c>
      <c r="F214" s="421">
        <f t="shared" si="78"/>
        <v>27636000</v>
      </c>
      <c r="G214" s="421">
        <f t="shared" si="78"/>
        <v>6820000</v>
      </c>
      <c r="H214" s="421">
        <f t="shared" si="78"/>
        <v>20816000</v>
      </c>
      <c r="I214" s="421">
        <f t="shared" si="78"/>
        <v>27636000</v>
      </c>
      <c r="J214" s="421">
        <f t="shared" si="78"/>
        <v>0</v>
      </c>
      <c r="K214" s="418"/>
    </row>
    <row r="215" spans="1:11" hidden="1" x14ac:dyDescent="0.25">
      <c r="A215" s="440"/>
      <c r="B215" s="423" t="s">
        <v>458</v>
      </c>
      <c r="C215" s="423" t="s">
        <v>460</v>
      </c>
      <c r="D215" s="422"/>
      <c r="E215" s="424" t="s">
        <v>461</v>
      </c>
      <c r="F215" s="425">
        <f>SUM(F216)</f>
        <v>27636000</v>
      </c>
      <c r="G215" s="425">
        <f>SUM(G216)</f>
        <v>6820000</v>
      </c>
      <c r="H215" s="425">
        <f>SUM(H216)</f>
        <v>20816000</v>
      </c>
      <c r="I215" s="425">
        <f>SUM(I216)</f>
        <v>27636000</v>
      </c>
      <c r="J215" s="425">
        <f>SUM(J216)</f>
        <v>0</v>
      </c>
      <c r="K215" s="422"/>
    </row>
    <row r="216" spans="1:11" hidden="1" x14ac:dyDescent="0.25">
      <c r="A216" s="439"/>
      <c r="B216" s="427" t="s">
        <v>458</v>
      </c>
      <c r="C216" s="427" t="s">
        <v>462</v>
      </c>
      <c r="D216" s="426"/>
      <c r="E216" s="428" t="s">
        <v>463</v>
      </c>
      <c r="F216" s="429">
        <v>27636000</v>
      </c>
      <c r="G216" s="429">
        <v>6820000</v>
      </c>
      <c r="H216" s="429">
        <f>[2]Nov!I236</f>
        <v>20816000</v>
      </c>
      <c r="I216" s="429">
        <f t="shared" ref="I216" si="79">G216+H216</f>
        <v>27636000</v>
      </c>
      <c r="J216" s="429">
        <f t="shared" ref="J216" si="80">F216-I216</f>
        <v>0</v>
      </c>
      <c r="K216" s="426"/>
    </row>
    <row r="217" spans="1:11" hidden="1" x14ac:dyDescent="0.25">
      <c r="A217" s="439"/>
      <c r="B217" s="427"/>
      <c r="C217" s="427"/>
      <c r="D217" s="426"/>
      <c r="E217" s="428"/>
      <c r="F217" s="429"/>
      <c r="G217" s="429"/>
      <c r="H217" s="429"/>
      <c r="I217" s="429"/>
      <c r="J217" s="429"/>
      <c r="K217" s="426"/>
    </row>
    <row r="218" spans="1:11" x14ac:dyDescent="0.25">
      <c r="A218" s="438"/>
      <c r="B218" s="419" t="s">
        <v>464</v>
      </c>
      <c r="C218" s="438"/>
      <c r="D218" s="420" t="s">
        <v>98</v>
      </c>
      <c r="E218" s="418"/>
      <c r="F218" s="421">
        <f>F219+F236</f>
        <v>57705000</v>
      </c>
      <c r="G218" s="421">
        <f>G219+G236</f>
        <v>8120000</v>
      </c>
      <c r="H218" s="421">
        <f>H219+H236</f>
        <v>47468074</v>
      </c>
      <c r="I218" s="421">
        <f>I219+I236</f>
        <v>55588074</v>
      </c>
      <c r="J218" s="421">
        <f>J219+J236</f>
        <v>2116926</v>
      </c>
      <c r="K218" s="418"/>
    </row>
    <row r="219" spans="1:11" x14ac:dyDescent="0.25">
      <c r="A219" s="438"/>
      <c r="B219" s="419" t="s">
        <v>465</v>
      </c>
      <c r="C219" s="438"/>
      <c r="D219" s="418"/>
      <c r="E219" s="420" t="s">
        <v>466</v>
      </c>
      <c r="F219" s="421">
        <f>F220</f>
        <v>53775000</v>
      </c>
      <c r="G219" s="421">
        <f>G220</f>
        <v>8120000</v>
      </c>
      <c r="H219" s="421">
        <f>H220</f>
        <v>43655000</v>
      </c>
      <c r="I219" s="421">
        <f>I220</f>
        <v>51775000</v>
      </c>
      <c r="J219" s="421">
        <f>J220</f>
        <v>2000000</v>
      </c>
      <c r="K219" s="418"/>
    </row>
    <row r="220" spans="1:11" ht="1.5" hidden="1" customHeight="1" x14ac:dyDescent="0.25">
      <c r="A220" s="438"/>
      <c r="B220" s="419" t="s">
        <v>465</v>
      </c>
      <c r="C220" s="419" t="s">
        <v>359</v>
      </c>
      <c r="D220" s="418"/>
      <c r="E220" s="420" t="s">
        <v>67</v>
      </c>
      <c r="F220" s="421">
        <f>F221+F225+F228+F230+F233</f>
        <v>53775000</v>
      </c>
      <c r="G220" s="421">
        <f>G221+G225+G228+G230+G233</f>
        <v>8120000</v>
      </c>
      <c r="H220" s="421">
        <f>H221+H225+H228+H230+H233</f>
        <v>43655000</v>
      </c>
      <c r="I220" s="421">
        <f>I221+I225+I228+I230+I233</f>
        <v>51775000</v>
      </c>
      <c r="J220" s="421">
        <f>J221+J225+J228+J230+J233</f>
        <v>2000000</v>
      </c>
      <c r="K220" s="418"/>
    </row>
    <row r="221" spans="1:11" hidden="1" x14ac:dyDescent="0.25">
      <c r="A221" s="440"/>
      <c r="B221" s="423" t="s">
        <v>465</v>
      </c>
      <c r="C221" s="423" t="s">
        <v>360</v>
      </c>
      <c r="D221" s="422"/>
      <c r="E221" s="424" t="s">
        <v>361</v>
      </c>
      <c r="F221" s="425">
        <f>SUM(F222:F224)</f>
        <v>16355000</v>
      </c>
      <c r="G221" s="425">
        <f>SUM(G222:G224)</f>
        <v>4620000</v>
      </c>
      <c r="H221" s="425">
        <f>SUM(H222:H224)</f>
        <v>9735000</v>
      </c>
      <c r="I221" s="425">
        <f>SUM(I222:I224)</f>
        <v>14355000</v>
      </c>
      <c r="J221" s="425">
        <f>SUM(J222:J224)</f>
        <v>2000000</v>
      </c>
      <c r="K221" s="422"/>
    </row>
    <row r="222" spans="1:11" hidden="1" x14ac:dyDescent="0.25">
      <c r="A222" s="439"/>
      <c r="B222" s="427" t="s">
        <v>465</v>
      </c>
      <c r="C222" s="427" t="s">
        <v>362</v>
      </c>
      <c r="D222" s="426"/>
      <c r="E222" s="428" t="s">
        <v>363</v>
      </c>
      <c r="F222" s="429">
        <v>2178000</v>
      </c>
      <c r="G222" s="429">
        <v>0</v>
      </c>
      <c r="H222" s="429">
        <f>[2]Nov!I242</f>
        <v>2178000</v>
      </c>
      <c r="I222" s="429">
        <f t="shared" ref="I222:I224" si="81">G222+H222</f>
        <v>2178000</v>
      </c>
      <c r="J222" s="429">
        <f t="shared" ref="J222:J224" si="82">F222-I222</f>
        <v>0</v>
      </c>
      <c r="K222" s="426"/>
    </row>
    <row r="223" spans="1:11" hidden="1" x14ac:dyDescent="0.25">
      <c r="A223" s="439"/>
      <c r="B223" s="427" t="s">
        <v>465</v>
      </c>
      <c r="C223" s="427" t="s">
        <v>366</v>
      </c>
      <c r="D223" s="426"/>
      <c r="E223" s="428" t="s">
        <v>367</v>
      </c>
      <c r="F223" s="429">
        <v>492000</v>
      </c>
      <c r="G223" s="429">
        <v>0</v>
      </c>
      <c r="H223" s="429">
        <f>[2]Nov!I243</f>
        <v>492000</v>
      </c>
      <c r="I223" s="429">
        <f t="shared" si="81"/>
        <v>492000</v>
      </c>
      <c r="J223" s="429">
        <f t="shared" si="82"/>
        <v>0</v>
      </c>
      <c r="K223" s="426"/>
    </row>
    <row r="224" spans="1:11" hidden="1" x14ac:dyDescent="0.25">
      <c r="A224" s="439"/>
      <c r="B224" s="427" t="s">
        <v>465</v>
      </c>
      <c r="C224" s="427" t="s">
        <v>368</v>
      </c>
      <c r="D224" s="426"/>
      <c r="E224" s="428" t="s">
        <v>369</v>
      </c>
      <c r="F224" s="429">
        <v>13685000</v>
      </c>
      <c r="G224" s="429">
        <f>3060000+1560000</f>
        <v>4620000</v>
      </c>
      <c r="H224" s="429">
        <f>[2]Nov!I244</f>
        <v>7065000</v>
      </c>
      <c r="I224" s="429">
        <f t="shared" si="81"/>
        <v>11685000</v>
      </c>
      <c r="J224" s="429">
        <f t="shared" si="82"/>
        <v>2000000</v>
      </c>
      <c r="K224" s="426"/>
    </row>
    <row r="225" spans="1:11" hidden="1" x14ac:dyDescent="0.25">
      <c r="A225" s="440"/>
      <c r="B225" s="423" t="s">
        <v>465</v>
      </c>
      <c r="C225" s="423" t="s">
        <v>370</v>
      </c>
      <c r="D225" s="422"/>
      <c r="E225" s="424" t="s">
        <v>81</v>
      </c>
      <c r="F225" s="425">
        <f>SUM(F226:F227)</f>
        <v>22530000</v>
      </c>
      <c r="G225" s="425">
        <f>SUM(G226:G227)</f>
        <v>0</v>
      </c>
      <c r="H225" s="425">
        <f>SUM(H226:H227)</f>
        <v>22530000</v>
      </c>
      <c r="I225" s="425">
        <f>SUM(I226:I227)</f>
        <v>22530000</v>
      </c>
      <c r="J225" s="425">
        <f>SUM(J226:J227)</f>
        <v>0</v>
      </c>
      <c r="K225" s="422"/>
    </row>
    <row r="226" spans="1:11" hidden="1" x14ac:dyDescent="0.25">
      <c r="A226" s="439"/>
      <c r="B226" s="427" t="s">
        <v>465</v>
      </c>
      <c r="C226" s="427" t="s">
        <v>436</v>
      </c>
      <c r="D226" s="426"/>
      <c r="E226" s="428" t="s">
        <v>437</v>
      </c>
      <c r="F226" s="429">
        <v>1950000</v>
      </c>
      <c r="G226" s="429">
        <v>0</v>
      </c>
      <c r="H226" s="429">
        <f>[2]Nov!I246</f>
        <v>1950000</v>
      </c>
      <c r="I226" s="429">
        <f t="shared" ref="I226:I227" si="83">G226+H226</f>
        <v>1950000</v>
      </c>
      <c r="J226" s="429">
        <f t="shared" ref="J226:J227" si="84">F226-I226</f>
        <v>0</v>
      </c>
      <c r="K226" s="426"/>
    </row>
    <row r="227" spans="1:11" hidden="1" x14ac:dyDescent="0.25">
      <c r="A227" s="439"/>
      <c r="B227" s="427" t="s">
        <v>465</v>
      </c>
      <c r="C227" s="427" t="s">
        <v>422</v>
      </c>
      <c r="D227" s="426"/>
      <c r="E227" s="428" t="s">
        <v>423</v>
      </c>
      <c r="F227" s="429">
        <v>20580000</v>
      </c>
      <c r="G227" s="429">
        <v>0</v>
      </c>
      <c r="H227" s="429">
        <f>[2]Nov!I247</f>
        <v>20580000</v>
      </c>
      <c r="I227" s="429">
        <f t="shared" si="83"/>
        <v>20580000</v>
      </c>
      <c r="J227" s="429">
        <f t="shared" si="84"/>
        <v>0</v>
      </c>
      <c r="K227" s="426"/>
    </row>
    <row r="228" spans="1:11" hidden="1" x14ac:dyDescent="0.25">
      <c r="A228" s="440"/>
      <c r="B228" s="423" t="s">
        <v>465</v>
      </c>
      <c r="C228" s="423" t="s">
        <v>373</v>
      </c>
      <c r="D228" s="422"/>
      <c r="E228" s="424" t="s">
        <v>145</v>
      </c>
      <c r="F228" s="425">
        <f>SUM(F229)</f>
        <v>800000</v>
      </c>
      <c r="G228" s="425">
        <f>SUM(G229)</f>
        <v>800000</v>
      </c>
      <c r="H228" s="425">
        <f>SUM(H229)</f>
        <v>0</v>
      </c>
      <c r="I228" s="425">
        <f>SUM(I229)</f>
        <v>800000</v>
      </c>
      <c r="J228" s="425">
        <f>SUM(J229)</f>
        <v>0</v>
      </c>
      <c r="K228" s="422"/>
    </row>
    <row r="229" spans="1:11" hidden="1" x14ac:dyDescent="0.25">
      <c r="A229" s="439"/>
      <c r="B229" s="427" t="s">
        <v>465</v>
      </c>
      <c r="C229" s="427" t="s">
        <v>374</v>
      </c>
      <c r="D229" s="426"/>
      <c r="E229" s="428" t="s">
        <v>375</v>
      </c>
      <c r="F229" s="429">
        <v>800000</v>
      </c>
      <c r="G229" s="429">
        <v>800000</v>
      </c>
      <c r="H229" s="429">
        <f>[2]Nov!I249</f>
        <v>0</v>
      </c>
      <c r="I229" s="429">
        <f t="shared" ref="I229" si="85">G229+H229</f>
        <v>800000</v>
      </c>
      <c r="J229" s="429">
        <f t="shared" ref="J229" si="86">F229-I229</f>
        <v>0</v>
      </c>
      <c r="K229" s="426"/>
    </row>
    <row r="230" spans="1:11" hidden="1" x14ac:dyDescent="0.25">
      <c r="A230" s="440"/>
      <c r="B230" s="423" t="s">
        <v>465</v>
      </c>
      <c r="C230" s="423" t="s">
        <v>455</v>
      </c>
      <c r="D230" s="422"/>
      <c r="E230" s="424" t="s">
        <v>83</v>
      </c>
      <c r="F230" s="425">
        <f>SUM(F231:F232)</f>
        <v>4700000</v>
      </c>
      <c r="G230" s="425">
        <f>SUM(G231:G232)</f>
        <v>2700000</v>
      </c>
      <c r="H230" s="425">
        <f>SUM(H231:H232)</f>
        <v>2000000</v>
      </c>
      <c r="I230" s="425">
        <f>SUM(I231:I232)</f>
        <v>4700000</v>
      </c>
      <c r="J230" s="425">
        <f>SUM(J231:J232)</f>
        <v>0</v>
      </c>
      <c r="K230" s="422"/>
    </row>
    <row r="231" spans="1:11" hidden="1" x14ac:dyDescent="0.25">
      <c r="A231" s="439"/>
      <c r="B231" s="427" t="s">
        <v>465</v>
      </c>
      <c r="C231" s="427" t="s">
        <v>456</v>
      </c>
      <c r="D231" s="426"/>
      <c r="E231" s="428" t="s">
        <v>457</v>
      </c>
      <c r="F231" s="429">
        <v>2700000</v>
      </c>
      <c r="G231" s="429">
        <v>2700000</v>
      </c>
      <c r="H231" s="429">
        <f>[2]Nov!I251</f>
        <v>0</v>
      </c>
      <c r="I231" s="429">
        <f t="shared" ref="I231:I232" si="87">G231+H231</f>
        <v>2700000</v>
      </c>
      <c r="J231" s="429">
        <f t="shared" ref="J231:J232" si="88">F231-I231</f>
        <v>0</v>
      </c>
      <c r="K231" s="426"/>
    </row>
    <row r="232" spans="1:11" hidden="1" x14ac:dyDescent="0.25">
      <c r="A232" s="439"/>
      <c r="B232" s="427" t="s">
        <v>465</v>
      </c>
      <c r="C232" s="427" t="s">
        <v>467</v>
      </c>
      <c r="D232" s="426"/>
      <c r="E232" s="428" t="s">
        <v>468</v>
      </c>
      <c r="F232" s="429">
        <v>2000000</v>
      </c>
      <c r="G232" s="429">
        <v>0</v>
      </c>
      <c r="H232" s="429">
        <f>[2]Nov!I252</f>
        <v>2000000</v>
      </c>
      <c r="I232" s="429">
        <f t="shared" si="87"/>
        <v>2000000</v>
      </c>
      <c r="J232" s="429">
        <f t="shared" si="88"/>
        <v>0</v>
      </c>
      <c r="K232" s="426"/>
    </row>
    <row r="233" spans="1:11" hidden="1" x14ac:dyDescent="0.25">
      <c r="A233" s="440"/>
      <c r="B233" s="423" t="s">
        <v>465</v>
      </c>
      <c r="C233" s="423" t="s">
        <v>460</v>
      </c>
      <c r="D233" s="422"/>
      <c r="E233" s="424" t="s">
        <v>461</v>
      </c>
      <c r="F233" s="425">
        <f>SUM(F234)</f>
        <v>9390000</v>
      </c>
      <c r="G233" s="425">
        <f>SUM(G234)</f>
        <v>0</v>
      </c>
      <c r="H233" s="425">
        <f>SUM(H234)</f>
        <v>9390000</v>
      </c>
      <c r="I233" s="425">
        <f>SUM(I234)</f>
        <v>9390000</v>
      </c>
      <c r="J233" s="425">
        <f>SUM(J234)</f>
        <v>0</v>
      </c>
      <c r="K233" s="422"/>
    </row>
    <row r="234" spans="1:11" hidden="1" x14ac:dyDescent="0.25">
      <c r="A234" s="450"/>
      <c r="B234" s="451" t="s">
        <v>465</v>
      </c>
      <c r="C234" s="451" t="s">
        <v>462</v>
      </c>
      <c r="D234" s="452"/>
      <c r="E234" s="453" t="s">
        <v>463</v>
      </c>
      <c r="F234" s="454">
        <v>9390000</v>
      </c>
      <c r="G234" s="454">
        <v>0</v>
      </c>
      <c r="H234" s="429">
        <f>[2]Nov!I254</f>
        <v>9390000</v>
      </c>
      <c r="I234" s="454">
        <f t="shared" ref="I234" si="89">G234+H234</f>
        <v>9390000</v>
      </c>
      <c r="J234" s="454">
        <f t="shared" ref="J234" si="90">F234-I234</f>
        <v>0</v>
      </c>
      <c r="K234" s="452"/>
    </row>
    <row r="235" spans="1:11" hidden="1" x14ac:dyDescent="0.25">
      <c r="A235" s="477"/>
      <c r="B235" s="478"/>
      <c r="C235" s="478"/>
      <c r="D235" s="479"/>
      <c r="E235" s="480"/>
      <c r="F235" s="481"/>
      <c r="G235" s="481"/>
      <c r="H235" s="482"/>
      <c r="I235" s="481"/>
      <c r="J235" s="481"/>
      <c r="K235" s="479"/>
    </row>
    <row r="236" spans="1:11" x14ac:dyDescent="0.25">
      <c r="A236" s="463"/>
      <c r="B236" s="415" t="s">
        <v>469</v>
      </c>
      <c r="C236" s="463"/>
      <c r="D236" s="414"/>
      <c r="E236" s="416" t="s">
        <v>470</v>
      </c>
      <c r="F236" s="448">
        <f>F237</f>
        <v>3930000</v>
      </c>
      <c r="G236" s="448">
        <f>G237</f>
        <v>0</v>
      </c>
      <c r="H236" s="448">
        <f>H237</f>
        <v>3813074</v>
      </c>
      <c r="I236" s="448">
        <f>I237</f>
        <v>3813074</v>
      </c>
      <c r="J236" s="448">
        <f>J237</f>
        <v>116926</v>
      </c>
      <c r="K236" s="414"/>
    </row>
    <row r="237" spans="1:11" hidden="1" x14ac:dyDescent="0.25">
      <c r="A237" s="438"/>
      <c r="B237" s="419" t="s">
        <v>469</v>
      </c>
      <c r="C237" s="419" t="s">
        <v>359</v>
      </c>
      <c r="D237" s="418"/>
      <c r="E237" s="420" t="s">
        <v>67</v>
      </c>
      <c r="F237" s="421">
        <f>F238+F240+F242</f>
        <v>3930000</v>
      </c>
      <c r="G237" s="421">
        <f>G238+G240+G242</f>
        <v>0</v>
      </c>
      <c r="H237" s="421">
        <f>H238+H240+H242</f>
        <v>3813074</v>
      </c>
      <c r="I237" s="421">
        <f>I238+I240+I242</f>
        <v>3813074</v>
      </c>
      <c r="J237" s="421">
        <f>J238+J240+J242</f>
        <v>116926</v>
      </c>
      <c r="K237" s="418"/>
    </row>
    <row r="238" spans="1:11" hidden="1" x14ac:dyDescent="0.25">
      <c r="A238" s="440"/>
      <c r="B238" s="423" t="s">
        <v>469</v>
      </c>
      <c r="C238" s="423" t="s">
        <v>360</v>
      </c>
      <c r="D238" s="422"/>
      <c r="E238" s="424" t="s">
        <v>361</v>
      </c>
      <c r="F238" s="425">
        <f>SUM(F239)</f>
        <v>180000</v>
      </c>
      <c r="G238" s="425">
        <f>SUM(G239)</f>
        <v>0</v>
      </c>
      <c r="H238" s="425">
        <f>SUM(H239)</f>
        <v>180000</v>
      </c>
      <c r="I238" s="425">
        <f>SUM(I239)</f>
        <v>180000</v>
      </c>
      <c r="J238" s="425">
        <f>SUM(J239)</f>
        <v>0</v>
      </c>
      <c r="K238" s="422"/>
    </row>
    <row r="239" spans="1:11" hidden="1" x14ac:dyDescent="0.25">
      <c r="A239" s="439"/>
      <c r="B239" s="427" t="s">
        <v>469</v>
      </c>
      <c r="C239" s="427" t="s">
        <v>368</v>
      </c>
      <c r="D239" s="426"/>
      <c r="E239" s="428" t="s">
        <v>369</v>
      </c>
      <c r="F239" s="429">
        <v>180000</v>
      </c>
      <c r="G239" s="429">
        <v>0</v>
      </c>
      <c r="H239" s="429">
        <f>[2]Nov!I264</f>
        <v>180000</v>
      </c>
      <c r="I239" s="429">
        <f t="shared" ref="I239" si="91">G239+H239</f>
        <v>180000</v>
      </c>
      <c r="J239" s="429">
        <f t="shared" ref="J239" si="92">F239-I239</f>
        <v>0</v>
      </c>
      <c r="K239" s="426"/>
    </row>
    <row r="240" spans="1:11" hidden="1" x14ac:dyDescent="0.25">
      <c r="A240" s="440"/>
      <c r="B240" s="423" t="s">
        <v>469</v>
      </c>
      <c r="C240" s="423" t="s">
        <v>370</v>
      </c>
      <c r="D240" s="422"/>
      <c r="E240" s="424" t="s">
        <v>81</v>
      </c>
      <c r="F240" s="425">
        <f>SUM(F241)</f>
        <v>450000</v>
      </c>
      <c r="G240" s="425">
        <f>SUM(G241)</f>
        <v>0</v>
      </c>
      <c r="H240" s="425">
        <f>SUM(H241)</f>
        <v>450000</v>
      </c>
      <c r="I240" s="425">
        <f>SUM(I241)</f>
        <v>450000</v>
      </c>
      <c r="J240" s="425">
        <f>SUM(J241)</f>
        <v>0</v>
      </c>
      <c r="K240" s="422"/>
    </row>
    <row r="241" spans="1:11" hidden="1" x14ac:dyDescent="0.25">
      <c r="A241" s="439"/>
      <c r="B241" s="427" t="s">
        <v>469</v>
      </c>
      <c r="C241" s="427" t="s">
        <v>436</v>
      </c>
      <c r="D241" s="426"/>
      <c r="E241" s="428" t="s">
        <v>437</v>
      </c>
      <c r="F241" s="429">
        <v>450000</v>
      </c>
      <c r="G241" s="429">
        <v>0</v>
      </c>
      <c r="H241" s="429">
        <f>[2]Nov!I266</f>
        <v>450000</v>
      </c>
      <c r="I241" s="429">
        <f t="shared" ref="I241" si="93">G241+H241</f>
        <v>450000</v>
      </c>
      <c r="J241" s="429">
        <f t="shared" ref="J241" si="94">F241-I241</f>
        <v>0</v>
      </c>
      <c r="K241" s="426"/>
    </row>
    <row r="242" spans="1:11" hidden="1" x14ac:dyDescent="0.25">
      <c r="A242" s="440"/>
      <c r="B242" s="423" t="s">
        <v>469</v>
      </c>
      <c r="C242" s="423" t="s">
        <v>378</v>
      </c>
      <c r="D242" s="422"/>
      <c r="E242" s="424" t="s">
        <v>78</v>
      </c>
      <c r="F242" s="425">
        <f>SUM(F243)</f>
        <v>3300000</v>
      </c>
      <c r="G242" s="425">
        <f>SUM(G243)</f>
        <v>0</v>
      </c>
      <c r="H242" s="425">
        <f>SUM(H243)</f>
        <v>3183074</v>
      </c>
      <c r="I242" s="425">
        <f>SUM(I243)</f>
        <v>3183074</v>
      </c>
      <c r="J242" s="425">
        <f>SUM(J243)</f>
        <v>116926</v>
      </c>
      <c r="K242" s="422"/>
    </row>
    <row r="243" spans="1:11" hidden="1" x14ac:dyDescent="0.25">
      <c r="A243" s="439"/>
      <c r="B243" s="427" t="s">
        <v>469</v>
      </c>
      <c r="C243" s="427" t="s">
        <v>385</v>
      </c>
      <c r="D243" s="426"/>
      <c r="E243" s="428" t="s">
        <v>386</v>
      </c>
      <c r="F243" s="429">
        <v>3300000</v>
      </c>
      <c r="G243" s="429">
        <v>0</v>
      </c>
      <c r="H243" s="429">
        <f>[2]Nov!I268</f>
        <v>3183074</v>
      </c>
      <c r="I243" s="429">
        <f t="shared" ref="I243" si="95">G243+H243</f>
        <v>3183074</v>
      </c>
      <c r="J243" s="429">
        <f t="shared" ref="J243" si="96">F243-I243</f>
        <v>116926</v>
      </c>
      <c r="K243" s="426"/>
    </row>
    <row r="244" spans="1:11" hidden="1" x14ac:dyDescent="0.25">
      <c r="A244" s="439"/>
      <c r="B244" s="427"/>
      <c r="C244" s="427"/>
      <c r="D244" s="426"/>
      <c r="E244" s="428"/>
      <c r="F244" s="429"/>
      <c r="G244" s="429"/>
      <c r="H244" s="429"/>
      <c r="I244" s="429"/>
      <c r="J244" s="429"/>
      <c r="K244" s="426"/>
    </row>
    <row r="245" spans="1:11" x14ac:dyDescent="0.25">
      <c r="A245" s="455"/>
      <c r="B245" s="456">
        <v>2</v>
      </c>
      <c r="C245" s="455"/>
      <c r="D245" s="458" t="s">
        <v>471</v>
      </c>
      <c r="E245" s="457"/>
      <c r="F245" s="459">
        <f>F246+F282+F370+F432+F455</f>
        <v>901315842</v>
      </c>
      <c r="G245" s="459">
        <f>G246+G282+G370+G432+G455</f>
        <v>182567150</v>
      </c>
      <c r="H245" s="459">
        <f>H246+H282+H370+H432+H455</f>
        <v>414747450</v>
      </c>
      <c r="I245" s="459">
        <f>I246+I282+I370+I432+I455</f>
        <v>597314600</v>
      </c>
      <c r="J245" s="459">
        <f>J246+J282+J370+J432+J455</f>
        <v>304001242</v>
      </c>
      <c r="K245" s="457"/>
    </row>
    <row r="246" spans="1:11" x14ac:dyDescent="0.25">
      <c r="A246" s="438"/>
      <c r="B246" s="419" t="s">
        <v>472</v>
      </c>
      <c r="C246" s="438"/>
      <c r="D246" s="420" t="s">
        <v>473</v>
      </c>
      <c r="E246" s="418"/>
      <c r="F246" s="421">
        <f>F247+F259+F269</f>
        <v>105845500</v>
      </c>
      <c r="G246" s="421">
        <f>G247+G259+G269</f>
        <v>52294450</v>
      </c>
      <c r="H246" s="421">
        <f>H247+H259+H269</f>
        <v>35997500</v>
      </c>
      <c r="I246" s="421">
        <f>I247+I259+I269</f>
        <v>88291950</v>
      </c>
      <c r="J246" s="421">
        <f>J247+J259+J269</f>
        <v>17553550</v>
      </c>
      <c r="K246" s="418"/>
    </row>
    <row r="247" spans="1:11" ht="38.25" x14ac:dyDescent="0.25">
      <c r="A247" s="438"/>
      <c r="B247" s="449" t="s">
        <v>474</v>
      </c>
      <c r="C247" s="438"/>
      <c r="D247" s="418"/>
      <c r="E247" s="484" t="s">
        <v>475</v>
      </c>
      <c r="F247" s="443">
        <f>F248</f>
        <v>13358000</v>
      </c>
      <c r="G247" s="443">
        <f>G248</f>
        <v>600000</v>
      </c>
      <c r="H247" s="443">
        <f>H248</f>
        <v>7494000</v>
      </c>
      <c r="I247" s="443">
        <f>I248</f>
        <v>8094000</v>
      </c>
      <c r="J247" s="443">
        <f>J248</f>
        <v>5264000</v>
      </c>
      <c r="K247" s="418"/>
    </row>
    <row r="248" spans="1:11" ht="0.75" customHeight="1" x14ac:dyDescent="0.25">
      <c r="A248" s="438"/>
      <c r="B248" s="419" t="s">
        <v>474</v>
      </c>
      <c r="C248" s="419" t="s">
        <v>359</v>
      </c>
      <c r="D248" s="418"/>
      <c r="E248" s="420" t="s">
        <v>67</v>
      </c>
      <c r="F248" s="421">
        <f>F249+F252+F256</f>
        <v>13358000</v>
      </c>
      <c r="G248" s="421">
        <f>G249+G252+G256</f>
        <v>600000</v>
      </c>
      <c r="H248" s="421">
        <f>H249+H252+H256</f>
        <v>7494000</v>
      </c>
      <c r="I248" s="421">
        <f>I249+I252+I256</f>
        <v>8094000</v>
      </c>
      <c r="J248" s="421">
        <f>J249+J252+J256</f>
        <v>5264000</v>
      </c>
      <c r="K248" s="418"/>
    </row>
    <row r="249" spans="1:11" hidden="1" x14ac:dyDescent="0.25">
      <c r="A249" s="440"/>
      <c r="B249" s="423" t="s">
        <v>474</v>
      </c>
      <c r="C249" s="423" t="s">
        <v>360</v>
      </c>
      <c r="D249" s="422"/>
      <c r="E249" s="424" t="s">
        <v>361</v>
      </c>
      <c r="F249" s="425">
        <f>SUM(F250:F251)</f>
        <v>854000</v>
      </c>
      <c r="G249" s="425">
        <f>SUM(G250:G251)</f>
        <v>0</v>
      </c>
      <c r="H249" s="425">
        <f>SUM(H250:H251)</f>
        <v>0</v>
      </c>
      <c r="I249" s="425">
        <f>SUM(I250:I251)</f>
        <v>0</v>
      </c>
      <c r="J249" s="425">
        <f>SUM(J250:J251)</f>
        <v>854000</v>
      </c>
      <c r="K249" s="422"/>
    </row>
    <row r="250" spans="1:11" hidden="1" x14ac:dyDescent="0.25">
      <c r="A250" s="439"/>
      <c r="B250" s="427" t="s">
        <v>474</v>
      </c>
      <c r="C250" s="427" t="s">
        <v>366</v>
      </c>
      <c r="D250" s="426"/>
      <c r="E250" s="428" t="s">
        <v>367</v>
      </c>
      <c r="F250" s="429">
        <v>54000</v>
      </c>
      <c r="G250" s="429">
        <v>0</v>
      </c>
      <c r="H250" s="429">
        <f>[2]Nov!I275</f>
        <v>0</v>
      </c>
      <c r="I250" s="429">
        <f t="shared" ref="I250:I251" si="97">G250+H250</f>
        <v>0</v>
      </c>
      <c r="J250" s="429">
        <f t="shared" ref="J250:J251" si="98">F250-I250</f>
        <v>54000</v>
      </c>
      <c r="K250" s="426"/>
    </row>
    <row r="251" spans="1:11" hidden="1" x14ac:dyDescent="0.25">
      <c r="A251" s="439"/>
      <c r="B251" s="427" t="s">
        <v>474</v>
      </c>
      <c r="C251" s="427" t="s">
        <v>368</v>
      </c>
      <c r="D251" s="426"/>
      <c r="E251" s="428" t="s">
        <v>369</v>
      </c>
      <c r="F251" s="429">
        <v>800000</v>
      </c>
      <c r="G251" s="429">
        <v>0</v>
      </c>
      <c r="H251" s="429">
        <f>[2]Nov!I276</f>
        <v>0</v>
      </c>
      <c r="I251" s="429">
        <f t="shared" si="97"/>
        <v>0</v>
      </c>
      <c r="J251" s="429">
        <f t="shared" si="98"/>
        <v>800000</v>
      </c>
      <c r="K251" s="426"/>
    </row>
    <row r="252" spans="1:11" hidden="1" x14ac:dyDescent="0.25">
      <c r="A252" s="440"/>
      <c r="B252" s="423" t="s">
        <v>474</v>
      </c>
      <c r="C252" s="423" t="s">
        <v>370</v>
      </c>
      <c r="D252" s="422"/>
      <c r="E252" s="424" t="s">
        <v>81</v>
      </c>
      <c r="F252" s="425">
        <f>SUM(F253:F255)</f>
        <v>10710000</v>
      </c>
      <c r="G252" s="425">
        <f>SUM(G253:G255)</f>
        <v>600000</v>
      </c>
      <c r="H252" s="425">
        <f>SUM(H253:H255)</f>
        <v>5700000</v>
      </c>
      <c r="I252" s="425">
        <f>SUM(I253:I255)</f>
        <v>6300000</v>
      </c>
      <c r="J252" s="425">
        <f>SUM(J253:J255)</f>
        <v>4410000</v>
      </c>
      <c r="K252" s="422"/>
    </row>
    <row r="253" spans="1:11" hidden="1" x14ac:dyDescent="0.25">
      <c r="A253" s="439"/>
      <c r="B253" s="427" t="s">
        <v>474</v>
      </c>
      <c r="C253" s="427" t="s">
        <v>476</v>
      </c>
      <c r="D253" s="426"/>
      <c r="E253" s="428" t="s">
        <v>477</v>
      </c>
      <c r="F253" s="429">
        <v>900000</v>
      </c>
      <c r="G253" s="429">
        <v>0</v>
      </c>
      <c r="H253" s="429">
        <f>[2]Nov!I278</f>
        <v>0</v>
      </c>
      <c r="I253" s="429">
        <f t="shared" ref="I253:I255" si="99">G253+H253</f>
        <v>0</v>
      </c>
      <c r="J253" s="429">
        <f t="shared" ref="J253:J255" si="100">F253-I253</f>
        <v>900000</v>
      </c>
      <c r="K253" s="426"/>
    </row>
    <row r="254" spans="1:11" hidden="1" x14ac:dyDescent="0.25">
      <c r="A254" s="439"/>
      <c r="B254" s="427" t="s">
        <v>474</v>
      </c>
      <c r="C254" s="427" t="s">
        <v>478</v>
      </c>
      <c r="D254" s="426"/>
      <c r="E254" s="428" t="s">
        <v>479</v>
      </c>
      <c r="F254" s="429">
        <v>510000</v>
      </c>
      <c r="G254" s="429">
        <v>0</v>
      </c>
      <c r="H254" s="429">
        <f>[2]Nov!I279</f>
        <v>0</v>
      </c>
      <c r="I254" s="429">
        <f t="shared" si="99"/>
        <v>0</v>
      </c>
      <c r="J254" s="429">
        <f t="shared" si="100"/>
        <v>510000</v>
      </c>
      <c r="K254" s="426"/>
    </row>
    <row r="255" spans="1:11" hidden="1" x14ac:dyDescent="0.25">
      <c r="A255" s="439"/>
      <c r="B255" s="427" t="s">
        <v>474</v>
      </c>
      <c r="C255" s="427" t="s">
        <v>398</v>
      </c>
      <c r="D255" s="426"/>
      <c r="E255" s="428" t="s">
        <v>399</v>
      </c>
      <c r="F255" s="429">
        <v>9300000</v>
      </c>
      <c r="G255" s="429">
        <v>600000</v>
      </c>
      <c r="H255" s="429">
        <f>[2]Nov!I280</f>
        <v>5700000</v>
      </c>
      <c r="I255" s="429">
        <f t="shared" si="99"/>
        <v>6300000</v>
      </c>
      <c r="J255" s="429">
        <f t="shared" si="100"/>
        <v>3000000</v>
      </c>
      <c r="K255" s="426"/>
    </row>
    <row r="256" spans="1:11" hidden="1" x14ac:dyDescent="0.25">
      <c r="A256" s="440"/>
      <c r="B256" s="423" t="s">
        <v>474</v>
      </c>
      <c r="C256" s="423" t="s">
        <v>460</v>
      </c>
      <c r="D256" s="422"/>
      <c r="E256" s="424" t="s">
        <v>461</v>
      </c>
      <c r="F256" s="425">
        <f>SUM(F257)</f>
        <v>1794000</v>
      </c>
      <c r="G256" s="425">
        <f>SUM(G257)</f>
        <v>0</v>
      </c>
      <c r="H256" s="425">
        <f>SUM(H257)</f>
        <v>1794000</v>
      </c>
      <c r="I256" s="425">
        <f>SUM(I257)</f>
        <v>1794000</v>
      </c>
      <c r="J256" s="425">
        <f>SUM(J257)</f>
        <v>0</v>
      </c>
      <c r="K256" s="422"/>
    </row>
    <row r="257" spans="1:11" hidden="1" x14ac:dyDescent="0.25">
      <c r="A257" s="439"/>
      <c r="B257" s="427" t="s">
        <v>474</v>
      </c>
      <c r="C257" s="427" t="s">
        <v>462</v>
      </c>
      <c r="D257" s="426"/>
      <c r="E257" s="428" t="s">
        <v>463</v>
      </c>
      <c r="F257" s="429">
        <v>1794000</v>
      </c>
      <c r="G257" s="429">
        <v>0</v>
      </c>
      <c r="H257" s="429">
        <f>[2]Nov!I282</f>
        <v>1794000</v>
      </c>
      <c r="I257" s="429">
        <f t="shared" ref="I257" si="101">G257+H257</f>
        <v>1794000</v>
      </c>
      <c r="J257" s="429">
        <f t="shared" ref="J257" si="102">F257-I257</f>
        <v>0</v>
      </c>
      <c r="K257" s="426"/>
    </row>
    <row r="258" spans="1:11" hidden="1" x14ac:dyDescent="0.25">
      <c r="A258" s="439"/>
      <c r="B258" s="427"/>
      <c r="C258" s="427"/>
      <c r="D258" s="426"/>
      <c r="E258" s="428"/>
      <c r="F258" s="429"/>
      <c r="G258" s="429"/>
      <c r="H258" s="429"/>
      <c r="I258" s="429"/>
      <c r="J258" s="429"/>
      <c r="K258" s="426"/>
    </row>
    <row r="259" spans="1:11" ht="38.25" x14ac:dyDescent="0.25">
      <c r="A259" s="438"/>
      <c r="B259" s="449" t="s">
        <v>480</v>
      </c>
      <c r="C259" s="438"/>
      <c r="D259" s="418"/>
      <c r="E259" s="484" t="s">
        <v>481</v>
      </c>
      <c r="F259" s="443">
        <f>F260</f>
        <v>3120000</v>
      </c>
      <c r="G259" s="443">
        <f>G260</f>
        <v>2862500</v>
      </c>
      <c r="H259" s="443">
        <f>H260</f>
        <v>227500</v>
      </c>
      <c r="I259" s="443">
        <f>I260</f>
        <v>3090000</v>
      </c>
      <c r="J259" s="443">
        <f>J260</f>
        <v>30000</v>
      </c>
      <c r="K259" s="418"/>
    </row>
    <row r="260" spans="1:11" hidden="1" x14ac:dyDescent="0.25">
      <c r="A260" s="438"/>
      <c r="B260" s="419" t="s">
        <v>480</v>
      </c>
      <c r="C260" s="419" t="s">
        <v>359</v>
      </c>
      <c r="D260" s="418"/>
      <c r="E260" s="420" t="s">
        <v>67</v>
      </c>
      <c r="F260" s="421">
        <f>F261+F264+F266</f>
        <v>3120000</v>
      </c>
      <c r="G260" s="421">
        <f>G261+G264+G266</f>
        <v>2862500</v>
      </c>
      <c r="H260" s="421">
        <f>H261+H264+H266</f>
        <v>227500</v>
      </c>
      <c r="I260" s="421">
        <f>I261+I264+I266</f>
        <v>3090000</v>
      </c>
      <c r="J260" s="421">
        <f>J261+J264+J266</f>
        <v>30000</v>
      </c>
      <c r="K260" s="418"/>
    </row>
    <row r="261" spans="1:11" hidden="1" x14ac:dyDescent="0.25">
      <c r="A261" s="440"/>
      <c r="B261" s="423" t="s">
        <v>480</v>
      </c>
      <c r="C261" s="423" t="s">
        <v>360</v>
      </c>
      <c r="D261" s="422"/>
      <c r="E261" s="424" t="s">
        <v>361</v>
      </c>
      <c r="F261" s="425">
        <f>SUM(F262:F263)</f>
        <v>300000</v>
      </c>
      <c r="G261" s="425">
        <f>SUM(G262:G263)</f>
        <v>300000</v>
      </c>
      <c r="H261" s="425">
        <f>SUM(H262:H263)</f>
        <v>0</v>
      </c>
      <c r="I261" s="425">
        <f>SUM(I262:I263)</f>
        <v>300000</v>
      </c>
      <c r="J261" s="425">
        <f>SUM(J262:J263)</f>
        <v>0</v>
      </c>
      <c r="K261" s="422"/>
    </row>
    <row r="262" spans="1:11" hidden="1" x14ac:dyDescent="0.25">
      <c r="A262" s="439"/>
      <c r="B262" s="427" t="s">
        <v>480</v>
      </c>
      <c r="C262" s="427" t="s">
        <v>362</v>
      </c>
      <c r="D262" s="426"/>
      <c r="E262" s="428" t="s">
        <v>363</v>
      </c>
      <c r="F262" s="429">
        <v>100000</v>
      </c>
      <c r="G262" s="429">
        <v>100000</v>
      </c>
      <c r="H262" s="429">
        <f>[2]Nov!I287</f>
        <v>0</v>
      </c>
      <c r="I262" s="429">
        <f t="shared" ref="I262:I263" si="103">G262+H262</f>
        <v>100000</v>
      </c>
      <c r="J262" s="429">
        <f t="shared" ref="J262:J263" si="104">F262-I262</f>
        <v>0</v>
      </c>
      <c r="K262" s="426"/>
    </row>
    <row r="263" spans="1:11" hidden="1" x14ac:dyDescent="0.25">
      <c r="A263" s="439"/>
      <c r="B263" s="427" t="s">
        <v>480</v>
      </c>
      <c r="C263" s="427" t="s">
        <v>482</v>
      </c>
      <c r="D263" s="426"/>
      <c r="E263" s="428" t="s">
        <v>367</v>
      </c>
      <c r="F263" s="429">
        <v>200000</v>
      </c>
      <c r="G263" s="429">
        <v>200000</v>
      </c>
      <c r="H263" s="429">
        <f>[2]Nov!I288</f>
        <v>0</v>
      </c>
      <c r="I263" s="429">
        <f t="shared" si="103"/>
        <v>200000</v>
      </c>
      <c r="J263" s="429">
        <f t="shared" si="104"/>
        <v>0</v>
      </c>
      <c r="K263" s="426"/>
    </row>
    <row r="264" spans="1:11" hidden="1" x14ac:dyDescent="0.25">
      <c r="A264" s="440"/>
      <c r="B264" s="423" t="s">
        <v>480</v>
      </c>
      <c r="C264" s="423" t="s">
        <v>370</v>
      </c>
      <c r="D264" s="422"/>
      <c r="E264" s="424" t="s">
        <v>81</v>
      </c>
      <c r="F264" s="425">
        <f>SUM(F265)</f>
        <v>2400000</v>
      </c>
      <c r="G264" s="425">
        <f>SUM(G265)</f>
        <v>2400000</v>
      </c>
      <c r="H264" s="425">
        <f>SUM(H265)</f>
        <v>0</v>
      </c>
      <c r="I264" s="425">
        <f>SUM(I265)</f>
        <v>2400000</v>
      </c>
      <c r="J264" s="425">
        <f>SUM(J265)</f>
        <v>0</v>
      </c>
      <c r="K264" s="422"/>
    </row>
    <row r="265" spans="1:11" hidden="1" x14ac:dyDescent="0.25">
      <c r="A265" s="439"/>
      <c r="B265" s="427" t="s">
        <v>480</v>
      </c>
      <c r="C265" s="427" t="s">
        <v>422</v>
      </c>
      <c r="D265" s="426"/>
      <c r="E265" s="428" t="s">
        <v>423</v>
      </c>
      <c r="F265" s="429">
        <v>2400000</v>
      </c>
      <c r="G265" s="429">
        <v>2400000</v>
      </c>
      <c r="H265" s="429">
        <f>[2]Nov!I290</f>
        <v>0</v>
      </c>
      <c r="I265" s="429">
        <f t="shared" ref="I265" si="105">G265+H265</f>
        <v>2400000</v>
      </c>
      <c r="J265" s="429">
        <f t="shared" ref="J265" si="106">F265-I265</f>
        <v>0</v>
      </c>
      <c r="K265" s="426"/>
    </row>
    <row r="266" spans="1:11" hidden="1" x14ac:dyDescent="0.25">
      <c r="A266" s="440"/>
      <c r="B266" s="423" t="s">
        <v>480</v>
      </c>
      <c r="C266" s="423" t="s">
        <v>378</v>
      </c>
      <c r="D266" s="422"/>
      <c r="E266" s="424" t="s">
        <v>78</v>
      </c>
      <c r="F266" s="425">
        <f>SUM(F267)</f>
        <v>420000</v>
      </c>
      <c r="G266" s="425">
        <f>SUM(G267)</f>
        <v>162500</v>
      </c>
      <c r="H266" s="425">
        <f>SUM(H267)</f>
        <v>227500</v>
      </c>
      <c r="I266" s="425">
        <f>SUM(I267)</f>
        <v>390000</v>
      </c>
      <c r="J266" s="425">
        <f>SUM(J267)</f>
        <v>30000</v>
      </c>
      <c r="K266" s="422"/>
    </row>
    <row r="267" spans="1:11" hidden="1" x14ac:dyDescent="0.25">
      <c r="A267" s="450"/>
      <c r="B267" s="451" t="s">
        <v>480</v>
      </c>
      <c r="C267" s="451" t="s">
        <v>483</v>
      </c>
      <c r="D267" s="452"/>
      <c r="E267" s="453" t="s">
        <v>484</v>
      </c>
      <c r="F267" s="454">
        <v>420000</v>
      </c>
      <c r="G267" s="454">
        <v>162500</v>
      </c>
      <c r="H267" s="429">
        <f>[2]Nov!I292</f>
        <v>227500</v>
      </c>
      <c r="I267" s="454">
        <f t="shared" ref="I267" si="107">G267+H267</f>
        <v>390000</v>
      </c>
      <c r="J267" s="454">
        <f t="shared" ref="J267" si="108">F267-I267</f>
        <v>30000</v>
      </c>
      <c r="K267" s="452"/>
    </row>
    <row r="268" spans="1:11" hidden="1" x14ac:dyDescent="0.25">
      <c r="A268" s="450"/>
      <c r="B268" s="451"/>
      <c r="C268" s="451"/>
      <c r="D268" s="452"/>
      <c r="E268" s="453"/>
      <c r="F268" s="454"/>
      <c r="G268" s="454"/>
      <c r="H268" s="429"/>
      <c r="I268" s="454"/>
      <c r="J268" s="454"/>
      <c r="K268" s="452"/>
    </row>
    <row r="269" spans="1:11" x14ac:dyDescent="0.25">
      <c r="A269" s="438"/>
      <c r="B269" s="419" t="s">
        <v>485</v>
      </c>
      <c r="C269" s="438"/>
      <c r="D269" s="418"/>
      <c r="E269" s="420" t="s">
        <v>486</v>
      </c>
      <c r="F269" s="421">
        <f>F270+F276</f>
        <v>89367500</v>
      </c>
      <c r="G269" s="421">
        <f>G270+G276</f>
        <v>48831950</v>
      </c>
      <c r="H269" s="421">
        <f>H270+H276</f>
        <v>28276000</v>
      </c>
      <c r="I269" s="421">
        <f>I270+I276</f>
        <v>77107950</v>
      </c>
      <c r="J269" s="421">
        <f>J270+J276</f>
        <v>12259550</v>
      </c>
      <c r="K269" s="418"/>
    </row>
    <row r="270" spans="1:11" hidden="1" x14ac:dyDescent="0.25">
      <c r="A270" s="438"/>
      <c r="B270" s="419" t="s">
        <v>485</v>
      </c>
      <c r="C270" s="419" t="s">
        <v>359</v>
      </c>
      <c r="D270" s="418"/>
      <c r="E270" s="420" t="s">
        <v>67</v>
      </c>
      <c r="F270" s="421">
        <f>F271</f>
        <v>730000</v>
      </c>
      <c r="G270" s="421">
        <f>G271</f>
        <v>0</v>
      </c>
      <c r="H270" s="421">
        <f>H271</f>
        <v>730000</v>
      </c>
      <c r="I270" s="421">
        <f>I271</f>
        <v>730000</v>
      </c>
      <c r="J270" s="421">
        <f>J271</f>
        <v>0</v>
      </c>
      <c r="K270" s="418"/>
    </row>
    <row r="271" spans="1:11" hidden="1" x14ac:dyDescent="0.25">
      <c r="A271" s="440"/>
      <c r="B271" s="423" t="s">
        <v>485</v>
      </c>
      <c r="C271" s="423" t="s">
        <v>360</v>
      </c>
      <c r="D271" s="422"/>
      <c r="E271" s="424" t="s">
        <v>361</v>
      </c>
      <c r="F271" s="425">
        <f>SUM(F272:F275)</f>
        <v>730000</v>
      </c>
      <c r="G271" s="425">
        <f>SUM(G272:G275)</f>
        <v>0</v>
      </c>
      <c r="H271" s="425">
        <f>SUM(H272:H275)</f>
        <v>730000</v>
      </c>
      <c r="I271" s="425">
        <f>SUM(I272:I275)</f>
        <v>730000</v>
      </c>
      <c r="J271" s="425">
        <f>SUM(J272:J275)</f>
        <v>0</v>
      </c>
      <c r="K271" s="422"/>
    </row>
    <row r="272" spans="1:11" hidden="1" x14ac:dyDescent="0.25">
      <c r="A272" s="439"/>
      <c r="B272" s="427" t="s">
        <v>485</v>
      </c>
      <c r="C272" s="427" t="s">
        <v>362</v>
      </c>
      <c r="D272" s="426"/>
      <c r="E272" s="428" t="s">
        <v>363</v>
      </c>
      <c r="F272" s="429">
        <v>100000</v>
      </c>
      <c r="G272" s="429">
        <v>0</v>
      </c>
      <c r="H272" s="429">
        <f>[2]Nov!I302</f>
        <v>100000</v>
      </c>
      <c r="I272" s="429">
        <f t="shared" ref="I272:I275" si="109">G272+H272</f>
        <v>100000</v>
      </c>
      <c r="J272" s="429">
        <f t="shared" ref="J272:J275" si="110">F272-I272</f>
        <v>0</v>
      </c>
      <c r="K272" s="426"/>
    </row>
    <row r="273" spans="1:11" hidden="1" x14ac:dyDescent="0.25">
      <c r="A273" s="439"/>
      <c r="B273" s="427" t="s">
        <v>485</v>
      </c>
      <c r="C273" s="427" t="s">
        <v>366</v>
      </c>
      <c r="D273" s="426"/>
      <c r="E273" s="428" t="s">
        <v>367</v>
      </c>
      <c r="F273" s="429">
        <v>100000</v>
      </c>
      <c r="G273" s="429">
        <v>0</v>
      </c>
      <c r="H273" s="429">
        <f>[2]Nov!I303</f>
        <v>100000</v>
      </c>
      <c r="I273" s="429">
        <f t="shared" si="109"/>
        <v>100000</v>
      </c>
      <c r="J273" s="429">
        <f t="shared" si="110"/>
        <v>0</v>
      </c>
      <c r="K273" s="426"/>
    </row>
    <row r="274" spans="1:11" hidden="1" x14ac:dyDescent="0.25">
      <c r="A274" s="439"/>
      <c r="B274" s="427" t="s">
        <v>485</v>
      </c>
      <c r="C274" s="427" t="s">
        <v>368</v>
      </c>
      <c r="D274" s="426"/>
      <c r="E274" s="428" t="s">
        <v>369</v>
      </c>
      <c r="F274" s="429">
        <v>180000</v>
      </c>
      <c r="G274" s="429">
        <v>0</v>
      </c>
      <c r="H274" s="429">
        <f>[2]Nov!I304</f>
        <v>180000</v>
      </c>
      <c r="I274" s="429">
        <f t="shared" si="109"/>
        <v>180000</v>
      </c>
      <c r="J274" s="429">
        <f t="shared" si="110"/>
        <v>0</v>
      </c>
      <c r="K274" s="426"/>
    </row>
    <row r="275" spans="1:11" hidden="1" x14ac:dyDescent="0.25">
      <c r="A275" s="439"/>
      <c r="B275" s="427" t="s">
        <v>485</v>
      </c>
      <c r="C275" s="427" t="s">
        <v>487</v>
      </c>
      <c r="D275" s="426"/>
      <c r="E275" s="428" t="s">
        <v>488</v>
      </c>
      <c r="F275" s="429">
        <v>350000</v>
      </c>
      <c r="G275" s="429">
        <v>0</v>
      </c>
      <c r="H275" s="429">
        <f>[2]Nov!I305</f>
        <v>350000</v>
      </c>
      <c r="I275" s="429">
        <f t="shared" si="109"/>
        <v>350000</v>
      </c>
      <c r="J275" s="429">
        <f t="shared" si="110"/>
        <v>0</v>
      </c>
      <c r="K275" s="426"/>
    </row>
    <row r="276" spans="1:11" hidden="1" x14ac:dyDescent="0.25">
      <c r="A276" s="438"/>
      <c r="B276" s="419" t="s">
        <v>485</v>
      </c>
      <c r="C276" s="419" t="s">
        <v>404</v>
      </c>
      <c r="D276" s="418"/>
      <c r="E276" s="420" t="s">
        <v>68</v>
      </c>
      <c r="F276" s="421">
        <f>F277</f>
        <v>88637500</v>
      </c>
      <c r="G276" s="421">
        <f>G277</f>
        <v>48831950</v>
      </c>
      <c r="H276" s="421">
        <f>H277</f>
        <v>27546000</v>
      </c>
      <c r="I276" s="421">
        <f>I277</f>
        <v>76377950</v>
      </c>
      <c r="J276" s="421">
        <f>J277</f>
        <v>12259550</v>
      </c>
      <c r="K276" s="418"/>
    </row>
    <row r="277" spans="1:11" hidden="1" x14ac:dyDescent="0.25">
      <c r="A277" s="440"/>
      <c r="B277" s="423" t="s">
        <v>485</v>
      </c>
      <c r="C277" s="423" t="s">
        <v>489</v>
      </c>
      <c r="D277" s="422"/>
      <c r="E277" s="424" t="s">
        <v>490</v>
      </c>
      <c r="F277" s="425">
        <f>SUM(F278:F280)</f>
        <v>88637500</v>
      </c>
      <c r="G277" s="425">
        <f>SUM(G278:G280)</f>
        <v>48831950</v>
      </c>
      <c r="H277" s="425">
        <f>SUM(H278:H280)</f>
        <v>27546000</v>
      </c>
      <c r="I277" s="425">
        <f>SUM(I278:I280)</f>
        <v>76377950</v>
      </c>
      <c r="J277" s="425">
        <f>SUM(J278:J280)</f>
        <v>12259550</v>
      </c>
      <c r="K277" s="422"/>
    </row>
    <row r="278" spans="1:11" hidden="1" x14ac:dyDescent="0.25">
      <c r="A278" s="439"/>
      <c r="B278" s="427" t="s">
        <v>485</v>
      </c>
      <c r="C278" s="427" t="s">
        <v>491</v>
      </c>
      <c r="D278" s="426"/>
      <c r="E278" s="428" t="s">
        <v>492</v>
      </c>
      <c r="F278" s="429">
        <v>3250000</v>
      </c>
      <c r="G278" s="429">
        <v>3250000</v>
      </c>
      <c r="H278" s="429">
        <f>[2]Nov!I308</f>
        <v>0</v>
      </c>
      <c r="I278" s="429">
        <f t="shared" ref="I278:I280" si="111">G278+H278</f>
        <v>3250000</v>
      </c>
      <c r="J278" s="429">
        <f t="shared" ref="J278:J280" si="112">F278-I278</f>
        <v>0</v>
      </c>
      <c r="K278" s="426"/>
    </row>
    <row r="279" spans="1:11" hidden="1" x14ac:dyDescent="0.25">
      <c r="A279" s="439"/>
      <c r="B279" s="427" t="s">
        <v>485</v>
      </c>
      <c r="C279" s="427" t="s">
        <v>493</v>
      </c>
      <c r="D279" s="426"/>
      <c r="E279" s="428" t="s">
        <v>494</v>
      </c>
      <c r="F279" s="429">
        <v>27546000</v>
      </c>
      <c r="G279" s="429">
        <v>0</v>
      </c>
      <c r="H279" s="429">
        <f>[2]Nov!I309</f>
        <v>27546000</v>
      </c>
      <c r="I279" s="429">
        <f t="shared" si="111"/>
        <v>27546000</v>
      </c>
      <c r="J279" s="429">
        <f t="shared" si="112"/>
        <v>0</v>
      </c>
      <c r="K279" s="426"/>
    </row>
    <row r="280" spans="1:11" hidden="1" x14ac:dyDescent="0.25">
      <c r="A280" s="450"/>
      <c r="B280" s="451" t="s">
        <v>485</v>
      </c>
      <c r="C280" s="451" t="s">
        <v>495</v>
      </c>
      <c r="D280" s="452"/>
      <c r="E280" s="453" t="s">
        <v>496</v>
      </c>
      <c r="F280" s="454">
        <v>57841500</v>
      </c>
      <c r="G280" s="429">
        <f>45551950+30000</f>
        <v>45581950</v>
      </c>
      <c r="H280" s="429">
        <f>[2]Nov!I310</f>
        <v>0</v>
      </c>
      <c r="I280" s="454">
        <f t="shared" si="111"/>
        <v>45581950</v>
      </c>
      <c r="J280" s="454">
        <f t="shared" si="112"/>
        <v>12259550</v>
      </c>
      <c r="K280" s="452"/>
    </row>
    <row r="281" spans="1:11" hidden="1" x14ac:dyDescent="0.25">
      <c r="A281" s="439"/>
      <c r="B281" s="427"/>
      <c r="C281" s="427"/>
      <c r="D281" s="426"/>
      <c r="E281" s="428"/>
      <c r="F281" s="429"/>
      <c r="G281" s="429"/>
      <c r="H281" s="429"/>
      <c r="I281" s="429"/>
      <c r="J281" s="429"/>
      <c r="K281" s="426"/>
    </row>
    <row r="282" spans="1:11" x14ac:dyDescent="0.25">
      <c r="A282" s="455"/>
      <c r="B282" s="456" t="s">
        <v>497</v>
      </c>
      <c r="C282" s="455"/>
      <c r="D282" s="458" t="s">
        <v>498</v>
      </c>
      <c r="E282" s="457"/>
      <c r="F282" s="459">
        <f>F283+F296+F305+F318+F326+F331+F340+F347+F352+F361</f>
        <v>85768400</v>
      </c>
      <c r="G282" s="459">
        <f>G283+G296+G305+G318+G326+G331+G340+G347+G352+G361</f>
        <v>8792500</v>
      </c>
      <c r="H282" s="459">
        <f>H283+H296+H305+H318+H326+H331+H340+H347+H352+H361</f>
        <v>72799250</v>
      </c>
      <c r="I282" s="459">
        <f>I283+I296+I305+I318+I326+I331+I340+I347+I352+I361</f>
        <v>81591750</v>
      </c>
      <c r="J282" s="459">
        <f>J283+J296+J305+J318+J326+J331+J340+J347+J352+J361</f>
        <v>4176650</v>
      </c>
      <c r="K282" s="457"/>
    </row>
    <row r="283" spans="1:11" x14ac:dyDescent="0.25">
      <c r="A283" s="438"/>
      <c r="B283" s="419" t="s">
        <v>499</v>
      </c>
      <c r="C283" s="438"/>
      <c r="D283" s="418"/>
      <c r="E283" s="420" t="s">
        <v>500</v>
      </c>
      <c r="F283" s="421">
        <f>F284</f>
        <v>29047400</v>
      </c>
      <c r="G283" s="421">
        <f>G284</f>
        <v>2762500</v>
      </c>
      <c r="H283" s="421">
        <f>H284</f>
        <v>25161000</v>
      </c>
      <c r="I283" s="421">
        <f>I284</f>
        <v>27923500</v>
      </c>
      <c r="J283" s="421">
        <f>J284</f>
        <v>1123900</v>
      </c>
      <c r="K283" s="418"/>
    </row>
    <row r="284" spans="1:11" hidden="1" x14ac:dyDescent="0.25">
      <c r="A284" s="438"/>
      <c r="B284" s="419" t="s">
        <v>499</v>
      </c>
      <c r="C284" s="419" t="s">
        <v>359</v>
      </c>
      <c r="D284" s="418"/>
      <c r="E284" s="420" t="s">
        <v>67</v>
      </c>
      <c r="F284" s="421">
        <f>F285+F289+F293</f>
        <v>29047400</v>
      </c>
      <c r="G284" s="421">
        <f>G285+G289+G293</f>
        <v>2762500</v>
      </c>
      <c r="H284" s="421">
        <f>H285+H289+H293</f>
        <v>25161000</v>
      </c>
      <c r="I284" s="421">
        <f>I285+I289+I293</f>
        <v>27923500</v>
      </c>
      <c r="J284" s="421">
        <f>J285+J289+J293</f>
        <v>1123900</v>
      </c>
      <c r="K284" s="418"/>
    </row>
    <row r="285" spans="1:11" hidden="1" x14ac:dyDescent="0.25">
      <c r="A285" s="440"/>
      <c r="B285" s="423" t="s">
        <v>499</v>
      </c>
      <c r="C285" s="423" t="s">
        <v>360</v>
      </c>
      <c r="D285" s="422"/>
      <c r="E285" s="424" t="s">
        <v>361</v>
      </c>
      <c r="F285" s="425">
        <f>SUM(F286:F288)</f>
        <v>5977400</v>
      </c>
      <c r="G285" s="425">
        <f>SUM(G286:G288)</f>
        <v>975000</v>
      </c>
      <c r="H285" s="425">
        <f>SUM(H286:H288)</f>
        <v>3978500</v>
      </c>
      <c r="I285" s="425">
        <f>SUM(I286:I288)</f>
        <v>4953500</v>
      </c>
      <c r="J285" s="425">
        <f>SUM(J286:J288)</f>
        <v>1023900</v>
      </c>
      <c r="K285" s="422"/>
    </row>
    <row r="286" spans="1:11" hidden="1" x14ac:dyDescent="0.25">
      <c r="A286" s="439"/>
      <c r="B286" s="427" t="s">
        <v>499</v>
      </c>
      <c r="C286" s="427" t="s">
        <v>362</v>
      </c>
      <c r="D286" s="426"/>
      <c r="E286" s="428" t="s">
        <v>363</v>
      </c>
      <c r="F286" s="429">
        <v>100000</v>
      </c>
      <c r="G286" s="429">
        <v>0</v>
      </c>
      <c r="H286" s="429">
        <f>[2]Nov!I316</f>
        <v>100000</v>
      </c>
      <c r="I286" s="429">
        <f t="shared" ref="I286:I288" si="113">G286+H286</f>
        <v>100000</v>
      </c>
      <c r="J286" s="429">
        <f t="shared" ref="J286:J288" si="114">F286-I286</f>
        <v>0</v>
      </c>
      <c r="K286" s="426"/>
    </row>
    <row r="287" spans="1:11" hidden="1" x14ac:dyDescent="0.25">
      <c r="A287" s="439"/>
      <c r="B287" s="427" t="s">
        <v>499</v>
      </c>
      <c r="C287" s="427" t="s">
        <v>366</v>
      </c>
      <c r="D287" s="426"/>
      <c r="E287" s="428" t="s">
        <v>367</v>
      </c>
      <c r="F287" s="429">
        <v>114900</v>
      </c>
      <c r="G287" s="429">
        <v>0</v>
      </c>
      <c r="H287" s="429">
        <f>[2]Nov!I317</f>
        <v>114750</v>
      </c>
      <c r="I287" s="429">
        <f t="shared" si="113"/>
        <v>114750</v>
      </c>
      <c r="J287" s="429">
        <f t="shared" si="114"/>
        <v>150</v>
      </c>
      <c r="K287" s="426"/>
    </row>
    <row r="288" spans="1:11" hidden="1" x14ac:dyDescent="0.25">
      <c r="A288" s="439"/>
      <c r="B288" s="427" t="s">
        <v>499</v>
      </c>
      <c r="C288" s="427" t="s">
        <v>368</v>
      </c>
      <c r="D288" s="426"/>
      <c r="E288" s="428" t="s">
        <v>369</v>
      </c>
      <c r="F288" s="429">
        <v>5762500</v>
      </c>
      <c r="G288" s="429">
        <v>975000</v>
      </c>
      <c r="H288" s="429">
        <f>[2]Nov!I318</f>
        <v>3763750</v>
      </c>
      <c r="I288" s="429">
        <f t="shared" si="113"/>
        <v>4738750</v>
      </c>
      <c r="J288" s="429">
        <f t="shared" si="114"/>
        <v>1023750</v>
      </c>
      <c r="K288" s="426"/>
    </row>
    <row r="289" spans="1:11" hidden="1" x14ac:dyDescent="0.25">
      <c r="A289" s="440"/>
      <c r="B289" s="423" t="s">
        <v>499</v>
      </c>
      <c r="C289" s="423" t="s">
        <v>370</v>
      </c>
      <c r="D289" s="422"/>
      <c r="E289" s="424" t="s">
        <v>81</v>
      </c>
      <c r="F289" s="425">
        <f>SUM(F290:F292)</f>
        <v>22170000</v>
      </c>
      <c r="G289" s="425">
        <f>SUM(G290:G292)</f>
        <v>1787500</v>
      </c>
      <c r="H289" s="425">
        <f>SUM(H290:H292)</f>
        <v>20382500</v>
      </c>
      <c r="I289" s="425">
        <f>SUM(I290:I292)</f>
        <v>22170000</v>
      </c>
      <c r="J289" s="425">
        <f>SUM(J290:J292)</f>
        <v>0</v>
      </c>
      <c r="K289" s="422"/>
    </row>
    <row r="290" spans="1:11" hidden="1" x14ac:dyDescent="0.25">
      <c r="A290" s="439"/>
      <c r="B290" s="427" t="s">
        <v>499</v>
      </c>
      <c r="C290" s="427" t="s">
        <v>476</v>
      </c>
      <c r="D290" s="426"/>
      <c r="E290" s="428" t="s">
        <v>477</v>
      </c>
      <c r="F290" s="429">
        <v>450000</v>
      </c>
      <c r="G290" s="429">
        <v>0</v>
      </c>
      <c r="H290" s="429">
        <f>[2]Nov!I320</f>
        <v>450000</v>
      </c>
      <c r="I290" s="429">
        <f t="shared" ref="I290:I292" si="115">G290+H290</f>
        <v>450000</v>
      </c>
      <c r="J290" s="429">
        <f t="shared" ref="J290:J292" si="116">F290-I290</f>
        <v>0</v>
      </c>
      <c r="K290" s="426"/>
    </row>
    <row r="291" spans="1:11" hidden="1" x14ac:dyDescent="0.25">
      <c r="A291" s="439"/>
      <c r="B291" s="427" t="s">
        <v>499</v>
      </c>
      <c r="C291" s="427" t="s">
        <v>478</v>
      </c>
      <c r="D291" s="426"/>
      <c r="E291" s="428" t="s">
        <v>479</v>
      </c>
      <c r="F291" s="429">
        <v>270000</v>
      </c>
      <c r="G291" s="429">
        <v>0</v>
      </c>
      <c r="H291" s="429">
        <f>[2]Nov!I321</f>
        <v>270000</v>
      </c>
      <c r="I291" s="429">
        <f t="shared" si="115"/>
        <v>270000</v>
      </c>
      <c r="J291" s="429">
        <f t="shared" si="116"/>
        <v>0</v>
      </c>
      <c r="K291" s="426"/>
    </row>
    <row r="292" spans="1:11" hidden="1" x14ac:dyDescent="0.25">
      <c r="A292" s="439"/>
      <c r="B292" s="427" t="s">
        <v>499</v>
      </c>
      <c r="C292" s="427" t="s">
        <v>398</v>
      </c>
      <c r="D292" s="426"/>
      <c r="E292" s="428" t="s">
        <v>399</v>
      </c>
      <c r="F292" s="429">
        <v>21450000</v>
      </c>
      <c r="G292" s="429">
        <v>1787500</v>
      </c>
      <c r="H292" s="429">
        <f>[2]Nov!I322</f>
        <v>19662500</v>
      </c>
      <c r="I292" s="429">
        <f t="shared" si="115"/>
        <v>21450000</v>
      </c>
      <c r="J292" s="429">
        <f t="shared" si="116"/>
        <v>0</v>
      </c>
      <c r="K292" s="426"/>
    </row>
    <row r="293" spans="1:11" hidden="1" x14ac:dyDescent="0.25">
      <c r="A293" s="440"/>
      <c r="B293" s="423" t="s">
        <v>499</v>
      </c>
      <c r="C293" s="423" t="s">
        <v>460</v>
      </c>
      <c r="D293" s="422"/>
      <c r="E293" s="424" t="s">
        <v>461</v>
      </c>
      <c r="F293" s="425">
        <f>SUM(F294)</f>
        <v>900000</v>
      </c>
      <c r="G293" s="425">
        <f>SUM(G294)</f>
        <v>0</v>
      </c>
      <c r="H293" s="425">
        <f>SUM(H294)</f>
        <v>800000</v>
      </c>
      <c r="I293" s="425">
        <f>SUM(I294)</f>
        <v>800000</v>
      </c>
      <c r="J293" s="425">
        <f>SUM(J294)</f>
        <v>100000</v>
      </c>
      <c r="K293" s="422"/>
    </row>
    <row r="294" spans="1:11" hidden="1" x14ac:dyDescent="0.25">
      <c r="A294" s="439"/>
      <c r="B294" s="427" t="s">
        <v>499</v>
      </c>
      <c r="C294" s="427" t="s">
        <v>462</v>
      </c>
      <c r="D294" s="426"/>
      <c r="E294" s="428" t="s">
        <v>463</v>
      </c>
      <c r="F294" s="429">
        <v>900000</v>
      </c>
      <c r="G294" s="429">
        <v>0</v>
      </c>
      <c r="H294" s="429">
        <f>[2]Nov!I324</f>
        <v>800000</v>
      </c>
      <c r="I294" s="429">
        <f t="shared" ref="I294" si="117">G294+H294</f>
        <v>800000</v>
      </c>
      <c r="J294" s="429">
        <f t="shared" ref="J294" si="118">F294-I294</f>
        <v>100000</v>
      </c>
      <c r="K294" s="426"/>
    </row>
    <row r="295" spans="1:11" hidden="1" x14ac:dyDescent="0.25">
      <c r="A295" s="439"/>
      <c r="B295" s="427"/>
      <c r="C295" s="427"/>
      <c r="D295" s="426"/>
      <c r="E295" s="428"/>
      <c r="F295" s="429"/>
      <c r="G295" s="429"/>
      <c r="H295" s="429"/>
      <c r="I295" s="429"/>
      <c r="J295" s="429"/>
      <c r="K295" s="426"/>
    </row>
    <row r="296" spans="1:11" ht="38.25" x14ac:dyDescent="0.25">
      <c r="A296" s="438"/>
      <c r="B296" s="449" t="s">
        <v>501</v>
      </c>
      <c r="C296" s="438"/>
      <c r="D296" s="418"/>
      <c r="E296" s="484" t="s">
        <v>502</v>
      </c>
      <c r="F296" s="443">
        <f>F297</f>
        <v>2835000</v>
      </c>
      <c r="G296" s="443">
        <f>G297</f>
        <v>0</v>
      </c>
      <c r="H296" s="443">
        <f>H297</f>
        <v>2835000</v>
      </c>
      <c r="I296" s="443">
        <f>I297</f>
        <v>2835000</v>
      </c>
      <c r="J296" s="443">
        <f>J297</f>
        <v>0</v>
      </c>
      <c r="K296" s="418"/>
    </row>
    <row r="297" spans="1:11" hidden="1" x14ac:dyDescent="0.25">
      <c r="A297" s="438"/>
      <c r="B297" s="419" t="s">
        <v>501</v>
      </c>
      <c r="C297" s="419" t="s">
        <v>359</v>
      </c>
      <c r="D297" s="418"/>
      <c r="E297" s="420" t="s">
        <v>67</v>
      </c>
      <c r="F297" s="421">
        <f>F298+F301</f>
        <v>2835000</v>
      </c>
      <c r="G297" s="421">
        <f>G298+G301</f>
        <v>0</v>
      </c>
      <c r="H297" s="421">
        <f>H298+H301</f>
        <v>2835000</v>
      </c>
      <c r="I297" s="421">
        <f>I298+I301</f>
        <v>2835000</v>
      </c>
      <c r="J297" s="421">
        <f>J298+J301</f>
        <v>0</v>
      </c>
      <c r="K297" s="418"/>
    </row>
    <row r="298" spans="1:11" hidden="1" x14ac:dyDescent="0.25">
      <c r="A298" s="440"/>
      <c r="B298" s="423" t="s">
        <v>501</v>
      </c>
      <c r="C298" s="423" t="s">
        <v>360</v>
      </c>
      <c r="D298" s="422"/>
      <c r="E298" s="424" t="s">
        <v>361</v>
      </c>
      <c r="F298" s="425">
        <f>SUM(F299:F300)</f>
        <v>1410000</v>
      </c>
      <c r="G298" s="425">
        <f>SUM(G299:G300)</f>
        <v>0</v>
      </c>
      <c r="H298" s="425">
        <f>SUM(H299:H300)</f>
        <v>1410000</v>
      </c>
      <c r="I298" s="425">
        <f>SUM(I299:I300)</f>
        <v>1410000</v>
      </c>
      <c r="J298" s="425">
        <f>SUM(J299:J300)</f>
        <v>0</v>
      </c>
      <c r="K298" s="422"/>
    </row>
    <row r="299" spans="1:11" hidden="1" x14ac:dyDescent="0.25">
      <c r="A299" s="439"/>
      <c r="B299" s="427" t="s">
        <v>501</v>
      </c>
      <c r="C299" s="427" t="s">
        <v>366</v>
      </c>
      <c r="D299" s="426"/>
      <c r="E299" s="428" t="s">
        <v>367</v>
      </c>
      <c r="F299" s="429">
        <v>50000</v>
      </c>
      <c r="G299" s="429">
        <v>0</v>
      </c>
      <c r="H299" s="429">
        <f>[2]Nov!I329</f>
        <v>50000</v>
      </c>
      <c r="I299" s="429">
        <f t="shared" ref="I299:I300" si="119">G299+H299</f>
        <v>50000</v>
      </c>
      <c r="J299" s="429">
        <f t="shared" ref="J299:J300" si="120">F299-I299</f>
        <v>0</v>
      </c>
      <c r="K299" s="426"/>
    </row>
    <row r="300" spans="1:11" hidden="1" x14ac:dyDescent="0.25">
      <c r="A300" s="439"/>
      <c r="B300" s="427" t="s">
        <v>501</v>
      </c>
      <c r="C300" s="427" t="s">
        <v>368</v>
      </c>
      <c r="D300" s="426"/>
      <c r="E300" s="428" t="s">
        <v>369</v>
      </c>
      <c r="F300" s="429">
        <v>1360000</v>
      </c>
      <c r="G300" s="429">
        <v>0</v>
      </c>
      <c r="H300" s="429">
        <f>[2]Nov!I330</f>
        <v>1360000</v>
      </c>
      <c r="I300" s="429">
        <f t="shared" si="119"/>
        <v>1360000</v>
      </c>
      <c r="J300" s="429">
        <f t="shared" si="120"/>
        <v>0</v>
      </c>
      <c r="K300" s="426"/>
    </row>
    <row r="301" spans="1:11" hidden="1" x14ac:dyDescent="0.25">
      <c r="A301" s="440"/>
      <c r="B301" s="423" t="s">
        <v>501</v>
      </c>
      <c r="C301" s="423" t="s">
        <v>370</v>
      </c>
      <c r="D301" s="422"/>
      <c r="E301" s="424" t="s">
        <v>81</v>
      </c>
      <c r="F301" s="425">
        <f>SUM(F302:F303)</f>
        <v>1425000</v>
      </c>
      <c r="G301" s="425">
        <f>SUM(G302:G303)</f>
        <v>0</v>
      </c>
      <c r="H301" s="425">
        <f>SUM(H302:H303)</f>
        <v>1425000</v>
      </c>
      <c r="I301" s="425">
        <f>SUM(I302:I303)</f>
        <v>1425000</v>
      </c>
      <c r="J301" s="425">
        <f>SUM(J302:J303)</f>
        <v>0</v>
      </c>
      <c r="K301" s="422"/>
    </row>
    <row r="302" spans="1:11" hidden="1" x14ac:dyDescent="0.25">
      <c r="A302" s="439"/>
      <c r="B302" s="427" t="s">
        <v>501</v>
      </c>
      <c r="C302" s="427" t="s">
        <v>476</v>
      </c>
      <c r="D302" s="426"/>
      <c r="E302" s="428" t="s">
        <v>477</v>
      </c>
      <c r="F302" s="429">
        <v>450000</v>
      </c>
      <c r="G302" s="429">
        <v>0</v>
      </c>
      <c r="H302" s="429">
        <f>[2]Nov!I332</f>
        <v>450000</v>
      </c>
      <c r="I302" s="429">
        <f t="shared" ref="I302:I303" si="121">G302+H302</f>
        <v>450000</v>
      </c>
      <c r="J302" s="429">
        <f t="shared" ref="J302:J303" si="122">F302-I302</f>
        <v>0</v>
      </c>
      <c r="K302" s="426"/>
    </row>
    <row r="303" spans="1:11" hidden="1" x14ac:dyDescent="0.25">
      <c r="A303" s="450"/>
      <c r="B303" s="451" t="s">
        <v>501</v>
      </c>
      <c r="C303" s="451" t="s">
        <v>478</v>
      </c>
      <c r="D303" s="452"/>
      <c r="E303" s="453" t="s">
        <v>479</v>
      </c>
      <c r="F303" s="454">
        <v>975000</v>
      </c>
      <c r="G303" s="454">
        <v>0</v>
      </c>
      <c r="H303" s="429">
        <f>[2]Nov!I333</f>
        <v>975000</v>
      </c>
      <c r="I303" s="454">
        <f t="shared" si="121"/>
        <v>975000</v>
      </c>
      <c r="J303" s="454">
        <f t="shared" si="122"/>
        <v>0</v>
      </c>
      <c r="K303" s="452"/>
    </row>
    <row r="304" spans="1:11" hidden="1" x14ac:dyDescent="0.25">
      <c r="A304" s="450"/>
      <c r="B304" s="451"/>
      <c r="C304" s="451"/>
      <c r="D304" s="452"/>
      <c r="E304" s="453"/>
      <c r="F304" s="454"/>
      <c r="G304" s="454"/>
      <c r="H304" s="429"/>
      <c r="I304" s="454"/>
      <c r="J304" s="454"/>
      <c r="K304" s="452"/>
    </row>
    <row r="305" spans="1:11" x14ac:dyDescent="0.25">
      <c r="A305" s="438"/>
      <c r="B305" s="419" t="s">
        <v>503</v>
      </c>
      <c r="C305" s="438"/>
      <c r="D305" s="418"/>
      <c r="E305" s="420" t="s">
        <v>504</v>
      </c>
      <c r="F305" s="421">
        <f>F306+F314</f>
        <v>18526500</v>
      </c>
      <c r="G305" s="421">
        <f>G306+G314</f>
        <v>2131500</v>
      </c>
      <c r="H305" s="421">
        <f>H306+H314</f>
        <v>13974500</v>
      </c>
      <c r="I305" s="421">
        <f>I306+I314</f>
        <v>16106000</v>
      </c>
      <c r="J305" s="421">
        <f>J306+J314</f>
        <v>2420500</v>
      </c>
      <c r="K305" s="418"/>
    </row>
    <row r="306" spans="1:11" hidden="1" x14ac:dyDescent="0.25">
      <c r="A306" s="438"/>
      <c r="B306" s="419" t="s">
        <v>503</v>
      </c>
      <c r="C306" s="419" t="s">
        <v>359</v>
      </c>
      <c r="D306" s="418"/>
      <c r="E306" s="420" t="s">
        <v>67</v>
      </c>
      <c r="F306" s="421">
        <f>F307+F311</f>
        <v>9676500</v>
      </c>
      <c r="G306" s="421">
        <f>G307+G311</f>
        <v>2131500</v>
      </c>
      <c r="H306" s="421">
        <f>H307+H311</f>
        <v>5124500</v>
      </c>
      <c r="I306" s="421">
        <f>I307+I311</f>
        <v>7256000</v>
      </c>
      <c r="J306" s="421">
        <f>J307+J311</f>
        <v>2420500</v>
      </c>
      <c r="K306" s="418"/>
    </row>
    <row r="307" spans="1:11" hidden="1" x14ac:dyDescent="0.25">
      <c r="A307" s="440"/>
      <c r="B307" s="423" t="s">
        <v>503</v>
      </c>
      <c r="C307" s="423" t="s">
        <v>360</v>
      </c>
      <c r="D307" s="422"/>
      <c r="E307" s="424" t="s">
        <v>361</v>
      </c>
      <c r="F307" s="425">
        <f>SUM(F308:F310)</f>
        <v>8026500</v>
      </c>
      <c r="G307" s="425">
        <f>SUM(G308:G310)</f>
        <v>1331500</v>
      </c>
      <c r="H307" s="425">
        <f>SUM(H308:H310)</f>
        <v>4724500</v>
      </c>
      <c r="I307" s="425">
        <f>SUM(I308:I310)</f>
        <v>6056000</v>
      </c>
      <c r="J307" s="425">
        <f>SUM(J308:J310)</f>
        <v>1970500</v>
      </c>
      <c r="K307" s="422"/>
    </row>
    <row r="308" spans="1:11" hidden="1" x14ac:dyDescent="0.25">
      <c r="A308" s="439"/>
      <c r="B308" s="427" t="s">
        <v>503</v>
      </c>
      <c r="C308" s="427" t="s">
        <v>362</v>
      </c>
      <c r="D308" s="426"/>
      <c r="E308" s="428" t="s">
        <v>363</v>
      </c>
      <c r="F308" s="429">
        <v>300000</v>
      </c>
      <c r="G308" s="429">
        <v>0</v>
      </c>
      <c r="H308" s="429">
        <f>[2]Nov!I341</f>
        <v>300000</v>
      </c>
      <c r="I308" s="429">
        <f t="shared" ref="I308:I310" si="123">G308+H308</f>
        <v>300000</v>
      </c>
      <c r="J308" s="429">
        <f t="shared" ref="J308:J310" si="124">F308-I308</f>
        <v>0</v>
      </c>
      <c r="K308" s="426"/>
    </row>
    <row r="309" spans="1:11" hidden="1" x14ac:dyDescent="0.25">
      <c r="A309" s="439"/>
      <c r="B309" s="427" t="s">
        <v>503</v>
      </c>
      <c r="C309" s="427" t="s">
        <v>366</v>
      </c>
      <c r="D309" s="426"/>
      <c r="E309" s="428" t="s">
        <v>367</v>
      </c>
      <c r="F309" s="429">
        <v>531500</v>
      </c>
      <c r="G309" s="429">
        <v>311500</v>
      </c>
      <c r="H309" s="429">
        <f>[2]Nov!I342</f>
        <v>220000</v>
      </c>
      <c r="I309" s="429">
        <f t="shared" si="123"/>
        <v>531500</v>
      </c>
      <c r="J309" s="429">
        <f t="shared" si="124"/>
        <v>0</v>
      </c>
      <c r="K309" s="426"/>
    </row>
    <row r="310" spans="1:11" hidden="1" x14ac:dyDescent="0.25">
      <c r="A310" s="439"/>
      <c r="B310" s="427" t="s">
        <v>503</v>
      </c>
      <c r="C310" s="427" t="s">
        <v>368</v>
      </c>
      <c r="D310" s="426"/>
      <c r="E310" s="428" t="s">
        <v>369</v>
      </c>
      <c r="F310" s="429">
        <v>7195000</v>
      </c>
      <c r="G310" s="429">
        <f>330000+690000</f>
        <v>1020000</v>
      </c>
      <c r="H310" s="429">
        <f>[2]Nov!I343</f>
        <v>4204500</v>
      </c>
      <c r="I310" s="429">
        <f t="shared" si="123"/>
        <v>5224500</v>
      </c>
      <c r="J310" s="429">
        <f t="shared" si="124"/>
        <v>1970500</v>
      </c>
      <c r="K310" s="426"/>
    </row>
    <row r="311" spans="1:11" hidden="1" x14ac:dyDescent="0.25">
      <c r="A311" s="440"/>
      <c r="B311" s="423" t="s">
        <v>503</v>
      </c>
      <c r="C311" s="423" t="s">
        <v>370</v>
      </c>
      <c r="D311" s="422"/>
      <c r="E311" s="424" t="s">
        <v>81</v>
      </c>
      <c r="F311" s="425">
        <f>SUM(F312:F313)</f>
        <v>1650000</v>
      </c>
      <c r="G311" s="425">
        <f>SUM(G312:G313)</f>
        <v>800000</v>
      </c>
      <c r="H311" s="425">
        <f>SUM(H312:H313)</f>
        <v>400000</v>
      </c>
      <c r="I311" s="425">
        <f>SUM(I312:I313)</f>
        <v>1200000</v>
      </c>
      <c r="J311" s="425">
        <f>SUM(J312:J313)</f>
        <v>450000</v>
      </c>
      <c r="K311" s="422"/>
    </row>
    <row r="312" spans="1:11" hidden="1" x14ac:dyDescent="0.25">
      <c r="A312" s="439"/>
      <c r="B312" s="427" t="s">
        <v>503</v>
      </c>
      <c r="C312" s="427" t="s">
        <v>476</v>
      </c>
      <c r="D312" s="426"/>
      <c r="E312" s="428" t="s">
        <v>477</v>
      </c>
      <c r="F312" s="429">
        <v>450000</v>
      </c>
      <c r="G312" s="429">
        <v>0</v>
      </c>
      <c r="H312" s="429">
        <f>[2]Nov!I345</f>
        <v>0</v>
      </c>
      <c r="I312" s="429">
        <f t="shared" ref="I312:I313" si="125">G312+H312</f>
        <v>0</v>
      </c>
      <c r="J312" s="429">
        <f t="shared" ref="J312:J313" si="126">F312-I312</f>
        <v>450000</v>
      </c>
      <c r="K312" s="426"/>
    </row>
    <row r="313" spans="1:11" hidden="1" x14ac:dyDescent="0.25">
      <c r="A313" s="439"/>
      <c r="B313" s="427" t="s">
        <v>503</v>
      </c>
      <c r="C313" s="427" t="s">
        <v>398</v>
      </c>
      <c r="D313" s="426"/>
      <c r="E313" s="428" t="s">
        <v>399</v>
      </c>
      <c r="F313" s="429">
        <v>1200000</v>
      </c>
      <c r="G313" s="429">
        <v>800000</v>
      </c>
      <c r="H313" s="429">
        <f>[2]Nov!I346</f>
        <v>400000</v>
      </c>
      <c r="I313" s="429">
        <f t="shared" si="125"/>
        <v>1200000</v>
      </c>
      <c r="J313" s="429">
        <f t="shared" si="126"/>
        <v>0</v>
      </c>
      <c r="K313" s="426"/>
    </row>
    <row r="314" spans="1:11" hidden="1" x14ac:dyDescent="0.25">
      <c r="A314" s="438"/>
      <c r="B314" s="419" t="s">
        <v>503</v>
      </c>
      <c r="C314" s="419" t="s">
        <v>404</v>
      </c>
      <c r="D314" s="418"/>
      <c r="E314" s="420" t="s">
        <v>68</v>
      </c>
      <c r="F314" s="421">
        <f>F315</f>
        <v>8850000</v>
      </c>
      <c r="G314" s="421">
        <f t="shared" ref="G314:J314" si="127">G315</f>
        <v>0</v>
      </c>
      <c r="H314" s="421">
        <f t="shared" si="127"/>
        <v>8850000</v>
      </c>
      <c r="I314" s="421">
        <f t="shared" si="127"/>
        <v>8850000</v>
      </c>
      <c r="J314" s="421">
        <f t="shared" si="127"/>
        <v>0</v>
      </c>
      <c r="K314" s="421"/>
    </row>
    <row r="315" spans="1:11" hidden="1" x14ac:dyDescent="0.25">
      <c r="A315" s="440"/>
      <c r="B315" s="423" t="s">
        <v>503</v>
      </c>
      <c r="C315" s="423" t="s">
        <v>405</v>
      </c>
      <c r="D315" s="422"/>
      <c r="E315" s="424" t="s">
        <v>505</v>
      </c>
      <c r="F315" s="425">
        <f>SUM(F316:F316)</f>
        <v>8850000</v>
      </c>
      <c r="G315" s="425">
        <f t="shared" ref="G315:J315" si="128">SUM(G316:G316)</f>
        <v>0</v>
      </c>
      <c r="H315" s="425">
        <f t="shared" si="128"/>
        <v>8850000</v>
      </c>
      <c r="I315" s="425">
        <f t="shared" si="128"/>
        <v>8850000</v>
      </c>
      <c r="J315" s="425">
        <f t="shared" si="128"/>
        <v>0</v>
      </c>
      <c r="K315" s="425"/>
    </row>
    <row r="316" spans="1:11" hidden="1" x14ac:dyDescent="0.25">
      <c r="A316" s="439"/>
      <c r="B316" s="427" t="s">
        <v>503</v>
      </c>
      <c r="C316" s="427" t="s">
        <v>407</v>
      </c>
      <c r="D316" s="426"/>
      <c r="E316" s="428" t="s">
        <v>506</v>
      </c>
      <c r="F316" s="429">
        <v>8850000</v>
      </c>
      <c r="G316" s="429">
        <v>0</v>
      </c>
      <c r="H316" s="429">
        <f>[2]Nov!I349</f>
        <v>8850000</v>
      </c>
      <c r="I316" s="429">
        <f t="shared" ref="I316" si="129">G316+H316</f>
        <v>8850000</v>
      </c>
      <c r="J316" s="429">
        <f t="shared" ref="J316" si="130">F316-I316</f>
        <v>0</v>
      </c>
      <c r="K316" s="426"/>
    </row>
    <row r="317" spans="1:11" hidden="1" x14ac:dyDescent="0.25">
      <c r="A317" s="439"/>
      <c r="B317" s="427"/>
      <c r="C317" s="427"/>
      <c r="D317" s="426"/>
      <c r="E317" s="428"/>
      <c r="F317" s="429"/>
      <c r="G317" s="429"/>
      <c r="H317" s="429"/>
      <c r="I317" s="429"/>
      <c r="J317" s="429"/>
      <c r="K317" s="426"/>
    </row>
    <row r="318" spans="1:11" x14ac:dyDescent="0.25">
      <c r="A318" s="438"/>
      <c r="B318" s="419" t="s">
        <v>507</v>
      </c>
      <c r="C318" s="438"/>
      <c r="D318" s="418"/>
      <c r="E318" s="420" t="s">
        <v>508</v>
      </c>
      <c r="F318" s="421">
        <f>F319</f>
        <v>2240000</v>
      </c>
      <c r="G318" s="421">
        <f>G319</f>
        <v>0</v>
      </c>
      <c r="H318" s="421">
        <f>H319</f>
        <v>2240000</v>
      </c>
      <c r="I318" s="421">
        <f>I319</f>
        <v>2240000</v>
      </c>
      <c r="J318" s="421">
        <f>J319</f>
        <v>0</v>
      </c>
      <c r="K318" s="418"/>
    </row>
    <row r="319" spans="1:11" hidden="1" x14ac:dyDescent="0.25">
      <c r="A319" s="438"/>
      <c r="B319" s="419" t="s">
        <v>507</v>
      </c>
      <c r="C319" s="419" t="s">
        <v>359</v>
      </c>
      <c r="D319" s="418"/>
      <c r="E319" s="420" t="s">
        <v>67</v>
      </c>
      <c r="F319" s="421">
        <f>F320+F322</f>
        <v>2240000</v>
      </c>
      <c r="G319" s="421">
        <f>G320+G322</f>
        <v>0</v>
      </c>
      <c r="H319" s="421">
        <f>H320+H322</f>
        <v>2240000</v>
      </c>
      <c r="I319" s="421">
        <f>I320+I322</f>
        <v>2240000</v>
      </c>
      <c r="J319" s="421">
        <f>J320+J322</f>
        <v>0</v>
      </c>
      <c r="K319" s="418"/>
    </row>
    <row r="320" spans="1:11" hidden="1" x14ac:dyDescent="0.25">
      <c r="A320" s="440"/>
      <c r="B320" s="423" t="s">
        <v>507</v>
      </c>
      <c r="C320" s="423" t="s">
        <v>360</v>
      </c>
      <c r="D320" s="422"/>
      <c r="E320" s="424" t="s">
        <v>361</v>
      </c>
      <c r="F320" s="425">
        <f>SUM(F321)</f>
        <v>1040000</v>
      </c>
      <c r="G320" s="425">
        <f>SUM(G321)</f>
        <v>0</v>
      </c>
      <c r="H320" s="425">
        <f>SUM(H321)</f>
        <v>1040000</v>
      </c>
      <c r="I320" s="425">
        <f>SUM(I321)</f>
        <v>1040000</v>
      </c>
      <c r="J320" s="425">
        <f>SUM(J321)</f>
        <v>0</v>
      </c>
      <c r="K320" s="422"/>
    </row>
    <row r="321" spans="1:11" hidden="1" x14ac:dyDescent="0.25">
      <c r="A321" s="439"/>
      <c r="B321" s="427" t="s">
        <v>507</v>
      </c>
      <c r="C321" s="427" t="s">
        <v>368</v>
      </c>
      <c r="D321" s="426"/>
      <c r="E321" s="428" t="s">
        <v>369</v>
      </c>
      <c r="F321" s="429">
        <v>1040000</v>
      </c>
      <c r="G321" s="429">
        <v>0</v>
      </c>
      <c r="H321" s="429">
        <f>[2]Nov!I354</f>
        <v>1040000</v>
      </c>
      <c r="I321" s="429">
        <f t="shared" ref="I321" si="131">G321+H321</f>
        <v>1040000</v>
      </c>
      <c r="J321" s="429">
        <f t="shared" ref="J321" si="132">F321-I321</f>
        <v>0</v>
      </c>
      <c r="K321" s="426"/>
    </row>
    <row r="322" spans="1:11" hidden="1" x14ac:dyDescent="0.25">
      <c r="A322" s="440"/>
      <c r="B322" s="423" t="s">
        <v>507</v>
      </c>
      <c r="C322" s="423" t="s">
        <v>370</v>
      </c>
      <c r="D322" s="422"/>
      <c r="E322" s="424" t="s">
        <v>81</v>
      </c>
      <c r="F322" s="425">
        <f>SUM(F323:F324)</f>
        <v>1200000</v>
      </c>
      <c r="G322" s="425">
        <f>SUM(G323:G324)</f>
        <v>0</v>
      </c>
      <c r="H322" s="425">
        <f>SUM(H323:H324)</f>
        <v>1200000</v>
      </c>
      <c r="I322" s="425">
        <f>SUM(I323:I324)</f>
        <v>1200000</v>
      </c>
      <c r="J322" s="425">
        <f>SUM(J323:J324)</f>
        <v>0</v>
      </c>
      <c r="K322" s="422"/>
    </row>
    <row r="323" spans="1:11" hidden="1" x14ac:dyDescent="0.25">
      <c r="A323" s="439"/>
      <c r="B323" s="427" t="s">
        <v>507</v>
      </c>
      <c r="C323" s="427" t="s">
        <v>476</v>
      </c>
      <c r="D323" s="426"/>
      <c r="E323" s="428" t="s">
        <v>477</v>
      </c>
      <c r="F323" s="429">
        <v>450000</v>
      </c>
      <c r="G323" s="429">
        <v>0</v>
      </c>
      <c r="H323" s="429">
        <f>[2]Nov!I356</f>
        <v>450000</v>
      </c>
      <c r="I323" s="429">
        <f t="shared" ref="I323:I324" si="133">G323+H323</f>
        <v>450000</v>
      </c>
      <c r="J323" s="429">
        <f t="shared" ref="J323:J324" si="134">F323-I323</f>
        <v>0</v>
      </c>
      <c r="K323" s="426"/>
    </row>
    <row r="324" spans="1:11" hidden="1" x14ac:dyDescent="0.25">
      <c r="A324" s="450"/>
      <c r="B324" s="451" t="s">
        <v>507</v>
      </c>
      <c r="C324" s="451" t="s">
        <v>478</v>
      </c>
      <c r="D324" s="452"/>
      <c r="E324" s="453" t="s">
        <v>479</v>
      </c>
      <c r="F324" s="454">
        <v>750000</v>
      </c>
      <c r="G324" s="454">
        <v>0</v>
      </c>
      <c r="H324" s="429">
        <f>[2]Nov!I357</f>
        <v>750000</v>
      </c>
      <c r="I324" s="454">
        <f t="shared" si="133"/>
        <v>750000</v>
      </c>
      <c r="J324" s="454">
        <f t="shared" si="134"/>
        <v>0</v>
      </c>
      <c r="K324" s="452"/>
    </row>
    <row r="325" spans="1:11" hidden="1" x14ac:dyDescent="0.25">
      <c r="A325" s="439"/>
      <c r="B325" s="427"/>
      <c r="C325" s="427"/>
      <c r="D325" s="426"/>
      <c r="E325" s="428"/>
      <c r="F325" s="429"/>
      <c r="G325" s="429"/>
      <c r="H325" s="429"/>
      <c r="I325" s="429"/>
      <c r="J325" s="429"/>
      <c r="K325" s="426"/>
    </row>
    <row r="326" spans="1:11" ht="38.25" x14ac:dyDescent="0.25">
      <c r="A326" s="455"/>
      <c r="B326" s="460" t="s">
        <v>509</v>
      </c>
      <c r="C326" s="455"/>
      <c r="D326" s="457"/>
      <c r="E326" s="461" t="s">
        <v>510</v>
      </c>
      <c r="F326" s="462">
        <f t="shared" ref="F326:J327" si="135">F327</f>
        <v>3250000</v>
      </c>
      <c r="G326" s="462">
        <f t="shared" si="135"/>
        <v>0</v>
      </c>
      <c r="H326" s="462">
        <f t="shared" si="135"/>
        <v>3250000</v>
      </c>
      <c r="I326" s="462">
        <f t="shared" si="135"/>
        <v>3250000</v>
      </c>
      <c r="J326" s="462">
        <f t="shared" si="135"/>
        <v>0</v>
      </c>
      <c r="K326" s="457"/>
    </row>
    <row r="327" spans="1:11" ht="0.75" customHeight="1" x14ac:dyDescent="0.25">
      <c r="A327" s="438"/>
      <c r="B327" s="419" t="s">
        <v>509</v>
      </c>
      <c r="C327" s="419" t="s">
        <v>359</v>
      </c>
      <c r="D327" s="418"/>
      <c r="E327" s="420" t="s">
        <v>67</v>
      </c>
      <c r="F327" s="421">
        <f t="shared" si="135"/>
        <v>3250000</v>
      </c>
      <c r="G327" s="421">
        <f t="shared" si="135"/>
        <v>0</v>
      </c>
      <c r="H327" s="421">
        <f t="shared" si="135"/>
        <v>3250000</v>
      </c>
      <c r="I327" s="421">
        <f t="shared" si="135"/>
        <v>3250000</v>
      </c>
      <c r="J327" s="421">
        <f t="shared" si="135"/>
        <v>0</v>
      </c>
      <c r="K327" s="418"/>
    </row>
    <row r="328" spans="1:11" hidden="1" x14ac:dyDescent="0.25">
      <c r="A328" s="440"/>
      <c r="B328" s="423" t="s">
        <v>509</v>
      </c>
      <c r="C328" s="423" t="s">
        <v>460</v>
      </c>
      <c r="D328" s="422"/>
      <c r="E328" s="424" t="s">
        <v>461</v>
      </c>
      <c r="F328" s="425">
        <f>SUM(F329)</f>
        <v>3250000</v>
      </c>
      <c r="G328" s="425">
        <f>SUM(G329)</f>
        <v>0</v>
      </c>
      <c r="H328" s="425">
        <f>SUM(H329)</f>
        <v>3250000</v>
      </c>
      <c r="I328" s="425">
        <f>SUM(I329)</f>
        <v>3250000</v>
      </c>
      <c r="J328" s="425">
        <f>SUM(J329)</f>
        <v>0</v>
      </c>
      <c r="K328" s="422"/>
    </row>
    <row r="329" spans="1:11" hidden="1" x14ac:dyDescent="0.25">
      <c r="A329" s="439"/>
      <c r="B329" s="427" t="s">
        <v>509</v>
      </c>
      <c r="C329" s="427" t="s">
        <v>462</v>
      </c>
      <c r="D329" s="426"/>
      <c r="E329" s="428" t="s">
        <v>463</v>
      </c>
      <c r="F329" s="429">
        <v>3250000</v>
      </c>
      <c r="G329" s="429">
        <v>0</v>
      </c>
      <c r="H329" s="429">
        <f>[2]Nov!I362</f>
        <v>3250000</v>
      </c>
      <c r="I329" s="429">
        <f t="shared" ref="I329" si="136">G329+H329</f>
        <v>3250000</v>
      </c>
      <c r="J329" s="429">
        <f t="shared" ref="J329" si="137">F329-I329</f>
        <v>0</v>
      </c>
      <c r="K329" s="426"/>
    </row>
    <row r="330" spans="1:11" hidden="1" x14ac:dyDescent="0.25">
      <c r="A330" s="439"/>
      <c r="B330" s="427"/>
      <c r="C330" s="427"/>
      <c r="D330" s="426"/>
      <c r="E330" s="428"/>
      <c r="F330" s="429"/>
      <c r="G330" s="429"/>
      <c r="H330" s="429"/>
      <c r="I330" s="429"/>
      <c r="J330" s="429"/>
      <c r="K330" s="426"/>
    </row>
    <row r="331" spans="1:11" x14ac:dyDescent="0.25">
      <c r="A331" s="438"/>
      <c r="B331" s="419" t="s">
        <v>511</v>
      </c>
      <c r="C331" s="438"/>
      <c r="D331" s="418"/>
      <c r="E331" s="420" t="s">
        <v>512</v>
      </c>
      <c r="F331" s="421">
        <f>F332</f>
        <v>2250000</v>
      </c>
      <c r="G331" s="421">
        <f>G332</f>
        <v>0</v>
      </c>
      <c r="H331" s="421">
        <f>H332</f>
        <v>2250000</v>
      </c>
      <c r="I331" s="421">
        <f>I332</f>
        <v>2250000</v>
      </c>
      <c r="J331" s="421">
        <f>J332</f>
        <v>0</v>
      </c>
      <c r="K331" s="418"/>
    </row>
    <row r="332" spans="1:11" hidden="1" x14ac:dyDescent="0.25">
      <c r="A332" s="438"/>
      <c r="B332" s="419" t="s">
        <v>511</v>
      </c>
      <c r="C332" s="419" t="s">
        <v>359</v>
      </c>
      <c r="D332" s="418"/>
      <c r="E332" s="420" t="s">
        <v>67</v>
      </c>
      <c r="F332" s="421">
        <f>F333+F337</f>
        <v>2250000</v>
      </c>
      <c r="G332" s="421">
        <f>G333+G337</f>
        <v>0</v>
      </c>
      <c r="H332" s="421">
        <f>H333+H337</f>
        <v>2250000</v>
      </c>
      <c r="I332" s="421">
        <f>I333+I337</f>
        <v>2250000</v>
      </c>
      <c r="J332" s="421">
        <f>J333+J337</f>
        <v>0</v>
      </c>
      <c r="K332" s="418"/>
    </row>
    <row r="333" spans="1:11" hidden="1" x14ac:dyDescent="0.25">
      <c r="A333" s="440"/>
      <c r="B333" s="423" t="s">
        <v>511</v>
      </c>
      <c r="C333" s="423" t="s">
        <v>360</v>
      </c>
      <c r="D333" s="422"/>
      <c r="E333" s="424" t="s">
        <v>361</v>
      </c>
      <c r="F333" s="425">
        <f>SUM(F334:F336)</f>
        <v>1800000</v>
      </c>
      <c r="G333" s="425">
        <f>SUM(G334:G336)</f>
        <v>0</v>
      </c>
      <c r="H333" s="425">
        <f>SUM(H334:H336)</f>
        <v>1800000</v>
      </c>
      <c r="I333" s="425">
        <f>SUM(I334:I336)</f>
        <v>1800000</v>
      </c>
      <c r="J333" s="425">
        <f>SUM(J334:J336)</f>
        <v>0</v>
      </c>
      <c r="K333" s="422"/>
    </row>
    <row r="334" spans="1:11" hidden="1" x14ac:dyDescent="0.25">
      <c r="A334" s="439"/>
      <c r="B334" s="427" t="s">
        <v>511</v>
      </c>
      <c r="C334" s="427" t="s">
        <v>362</v>
      </c>
      <c r="D334" s="426"/>
      <c r="E334" s="428" t="s">
        <v>363</v>
      </c>
      <c r="F334" s="429">
        <v>300000</v>
      </c>
      <c r="G334" s="429">
        <v>0</v>
      </c>
      <c r="H334" s="429">
        <f>[2]Nov!I367</f>
        <v>300000</v>
      </c>
      <c r="I334" s="429">
        <f t="shared" ref="I334:I336" si="138">G334+H334</f>
        <v>300000</v>
      </c>
      <c r="J334" s="429">
        <f t="shared" ref="J334:J336" si="139">F334-I334</f>
        <v>0</v>
      </c>
      <c r="K334" s="426"/>
    </row>
    <row r="335" spans="1:11" hidden="1" x14ac:dyDescent="0.25">
      <c r="A335" s="439"/>
      <c r="B335" s="427" t="s">
        <v>511</v>
      </c>
      <c r="C335" s="427" t="s">
        <v>366</v>
      </c>
      <c r="D335" s="426"/>
      <c r="E335" s="428" t="s">
        <v>367</v>
      </c>
      <c r="F335" s="429">
        <v>300000</v>
      </c>
      <c r="G335" s="429">
        <v>0</v>
      </c>
      <c r="H335" s="429">
        <f>[2]Nov!I368</f>
        <v>300000</v>
      </c>
      <c r="I335" s="429">
        <f t="shared" si="138"/>
        <v>300000</v>
      </c>
      <c r="J335" s="429">
        <f t="shared" si="139"/>
        <v>0</v>
      </c>
      <c r="K335" s="426"/>
    </row>
    <row r="336" spans="1:11" hidden="1" x14ac:dyDescent="0.25">
      <c r="A336" s="439"/>
      <c r="B336" s="427" t="s">
        <v>511</v>
      </c>
      <c r="C336" s="427" t="s">
        <v>368</v>
      </c>
      <c r="D336" s="426"/>
      <c r="E336" s="428" t="s">
        <v>369</v>
      </c>
      <c r="F336" s="429">
        <v>1200000</v>
      </c>
      <c r="G336" s="429">
        <v>0</v>
      </c>
      <c r="H336" s="429">
        <f>[2]Nov!I369</f>
        <v>1200000</v>
      </c>
      <c r="I336" s="429">
        <f t="shared" si="138"/>
        <v>1200000</v>
      </c>
      <c r="J336" s="429">
        <f t="shared" si="139"/>
        <v>0</v>
      </c>
      <c r="K336" s="426"/>
    </row>
    <row r="337" spans="1:11" hidden="1" x14ac:dyDescent="0.25">
      <c r="A337" s="440"/>
      <c r="B337" s="423" t="s">
        <v>511</v>
      </c>
      <c r="C337" s="423" t="s">
        <v>370</v>
      </c>
      <c r="D337" s="422"/>
      <c r="E337" s="424" t="s">
        <v>81</v>
      </c>
      <c r="F337" s="425">
        <f>SUM(F338)</f>
        <v>450000</v>
      </c>
      <c r="G337" s="425">
        <f>SUM(G338)</f>
        <v>0</v>
      </c>
      <c r="H337" s="425">
        <f>SUM(H338)</f>
        <v>450000</v>
      </c>
      <c r="I337" s="425">
        <f>SUM(I338)</f>
        <v>450000</v>
      </c>
      <c r="J337" s="425">
        <f>SUM(J338)</f>
        <v>0</v>
      </c>
      <c r="K337" s="422"/>
    </row>
    <row r="338" spans="1:11" hidden="1" x14ac:dyDescent="0.25">
      <c r="A338" s="439"/>
      <c r="B338" s="427" t="s">
        <v>511</v>
      </c>
      <c r="C338" s="427" t="s">
        <v>476</v>
      </c>
      <c r="D338" s="426"/>
      <c r="E338" s="428" t="s">
        <v>477</v>
      </c>
      <c r="F338" s="429">
        <v>450000</v>
      </c>
      <c r="G338" s="429">
        <v>0</v>
      </c>
      <c r="H338" s="429">
        <f>[2]Nov!I371</f>
        <v>450000</v>
      </c>
      <c r="I338" s="429">
        <f t="shared" ref="I338" si="140">G338+H338</f>
        <v>450000</v>
      </c>
      <c r="J338" s="429">
        <f t="shared" ref="J338" si="141">F338-I338</f>
        <v>0</v>
      </c>
      <c r="K338" s="426"/>
    </row>
    <row r="339" spans="1:11" hidden="1" x14ac:dyDescent="0.25">
      <c r="A339" s="439"/>
      <c r="B339" s="427"/>
      <c r="C339" s="427"/>
      <c r="D339" s="426"/>
      <c r="E339" s="428"/>
      <c r="F339" s="429"/>
      <c r="G339" s="429"/>
      <c r="H339" s="429"/>
      <c r="I339" s="429"/>
      <c r="J339" s="429"/>
      <c r="K339" s="426"/>
    </row>
    <row r="340" spans="1:11" x14ac:dyDescent="0.25">
      <c r="A340" s="438"/>
      <c r="B340" s="419" t="s">
        <v>513</v>
      </c>
      <c r="C340" s="438"/>
      <c r="D340" s="418"/>
      <c r="E340" s="420" t="s">
        <v>514</v>
      </c>
      <c r="F340" s="421">
        <f>F341</f>
        <v>2502000</v>
      </c>
      <c r="G340" s="421">
        <f>G341</f>
        <v>621000</v>
      </c>
      <c r="H340" s="421">
        <f>H341</f>
        <v>1863000</v>
      </c>
      <c r="I340" s="421">
        <f>I341</f>
        <v>2484000</v>
      </c>
      <c r="J340" s="421">
        <f>J341</f>
        <v>18000</v>
      </c>
      <c r="K340" s="418"/>
    </row>
    <row r="341" spans="1:11" hidden="1" x14ac:dyDescent="0.25">
      <c r="A341" s="438"/>
      <c r="B341" s="419" t="s">
        <v>513</v>
      </c>
      <c r="C341" s="419" t="s">
        <v>359</v>
      </c>
      <c r="D341" s="418"/>
      <c r="E341" s="420" t="s">
        <v>67</v>
      </c>
      <c r="F341" s="421">
        <f>F342+F344</f>
        <v>2502000</v>
      </c>
      <c r="G341" s="421">
        <f>G342+G344</f>
        <v>621000</v>
      </c>
      <c r="H341" s="421">
        <f>H342+H344</f>
        <v>1863000</v>
      </c>
      <c r="I341" s="421">
        <f>I342+I344</f>
        <v>2484000</v>
      </c>
      <c r="J341" s="421">
        <f>J342+J344</f>
        <v>18000</v>
      </c>
      <c r="K341" s="418"/>
    </row>
    <row r="342" spans="1:11" hidden="1" x14ac:dyDescent="0.25">
      <c r="A342" s="440"/>
      <c r="B342" s="423" t="s">
        <v>513</v>
      </c>
      <c r="C342" s="423" t="s">
        <v>360</v>
      </c>
      <c r="D342" s="422"/>
      <c r="E342" s="424" t="s">
        <v>361</v>
      </c>
      <c r="F342" s="425">
        <f>SUM(F343)</f>
        <v>342000</v>
      </c>
      <c r="G342" s="425">
        <f>SUM(G343)</f>
        <v>81000</v>
      </c>
      <c r="H342" s="425">
        <f>SUM(H343)</f>
        <v>243000</v>
      </c>
      <c r="I342" s="425">
        <f>SUM(I343)</f>
        <v>324000</v>
      </c>
      <c r="J342" s="425">
        <f>SUM(J343)</f>
        <v>18000</v>
      </c>
      <c r="K342" s="422"/>
    </row>
    <row r="343" spans="1:11" hidden="1" x14ac:dyDescent="0.25">
      <c r="A343" s="439"/>
      <c r="B343" s="427" t="s">
        <v>513</v>
      </c>
      <c r="C343" s="427" t="s">
        <v>515</v>
      </c>
      <c r="D343" s="426"/>
      <c r="E343" s="428" t="s">
        <v>516</v>
      </c>
      <c r="F343" s="429">
        <v>342000</v>
      </c>
      <c r="G343" s="429">
        <v>81000</v>
      </c>
      <c r="H343" s="429">
        <f>[2]Nov!I376</f>
        <v>243000</v>
      </c>
      <c r="I343" s="429">
        <f t="shared" ref="I343" si="142">G343+H343</f>
        <v>324000</v>
      </c>
      <c r="J343" s="429">
        <f t="shared" ref="J343" si="143">F343-I343</f>
        <v>18000</v>
      </c>
      <c r="K343" s="426"/>
    </row>
    <row r="344" spans="1:11" hidden="1" x14ac:dyDescent="0.25">
      <c r="A344" s="440"/>
      <c r="B344" s="423" t="s">
        <v>513</v>
      </c>
      <c r="C344" s="423" t="s">
        <v>370</v>
      </c>
      <c r="D344" s="422"/>
      <c r="E344" s="424" t="s">
        <v>81</v>
      </c>
      <c r="F344" s="425">
        <f>SUM(F345)</f>
        <v>2160000</v>
      </c>
      <c r="G344" s="425">
        <f>SUM(G345)</f>
        <v>540000</v>
      </c>
      <c r="H344" s="425">
        <f>SUM(H345)</f>
        <v>1620000</v>
      </c>
      <c r="I344" s="425">
        <f>SUM(I345)</f>
        <v>2160000</v>
      </c>
      <c r="J344" s="425">
        <f>SUM(J345)</f>
        <v>0</v>
      </c>
      <c r="K344" s="422"/>
    </row>
    <row r="345" spans="1:11" hidden="1" x14ac:dyDescent="0.25">
      <c r="A345" s="439"/>
      <c r="B345" s="427" t="s">
        <v>513</v>
      </c>
      <c r="C345" s="427" t="s">
        <v>398</v>
      </c>
      <c r="D345" s="426"/>
      <c r="E345" s="428" t="s">
        <v>399</v>
      </c>
      <c r="F345" s="429">
        <v>2160000</v>
      </c>
      <c r="G345" s="429">
        <v>540000</v>
      </c>
      <c r="H345" s="429">
        <f>[2]Nov!I378</f>
        <v>1620000</v>
      </c>
      <c r="I345" s="429">
        <f t="shared" ref="I345" si="144">G345+H345</f>
        <v>2160000</v>
      </c>
      <c r="J345" s="429">
        <f t="shared" ref="J345" si="145">F345-I345</f>
        <v>0</v>
      </c>
      <c r="K345" s="426"/>
    </row>
    <row r="346" spans="1:11" hidden="1" x14ac:dyDescent="0.25">
      <c r="A346" s="439"/>
      <c r="B346" s="427"/>
      <c r="C346" s="427"/>
      <c r="D346" s="426"/>
      <c r="E346" s="428"/>
      <c r="F346" s="429"/>
      <c r="G346" s="429"/>
      <c r="H346" s="429"/>
      <c r="I346" s="429"/>
      <c r="J346" s="429"/>
      <c r="K346" s="426"/>
    </row>
    <row r="347" spans="1:11" x14ac:dyDescent="0.25">
      <c r="A347" s="438"/>
      <c r="B347" s="419" t="s">
        <v>517</v>
      </c>
      <c r="C347" s="438"/>
      <c r="D347" s="418"/>
      <c r="E347" s="420" t="s">
        <v>518</v>
      </c>
      <c r="F347" s="421">
        <f t="shared" ref="F347:J348" si="146">F348</f>
        <v>6480000</v>
      </c>
      <c r="G347" s="421">
        <f t="shared" si="146"/>
        <v>1620000</v>
      </c>
      <c r="H347" s="421">
        <f t="shared" si="146"/>
        <v>4860000</v>
      </c>
      <c r="I347" s="421">
        <f t="shared" si="146"/>
        <v>6480000</v>
      </c>
      <c r="J347" s="421">
        <f t="shared" si="146"/>
        <v>0</v>
      </c>
      <c r="K347" s="418"/>
    </row>
    <row r="348" spans="1:11" hidden="1" x14ac:dyDescent="0.25">
      <c r="A348" s="438"/>
      <c r="B348" s="419" t="s">
        <v>517</v>
      </c>
      <c r="C348" s="419" t="s">
        <v>359</v>
      </c>
      <c r="D348" s="418"/>
      <c r="E348" s="420" t="s">
        <v>67</v>
      </c>
      <c r="F348" s="421">
        <f t="shared" si="146"/>
        <v>6480000</v>
      </c>
      <c r="G348" s="421">
        <f t="shared" si="146"/>
        <v>1620000</v>
      </c>
      <c r="H348" s="421">
        <f t="shared" si="146"/>
        <v>4860000</v>
      </c>
      <c r="I348" s="421">
        <f t="shared" si="146"/>
        <v>6480000</v>
      </c>
      <c r="J348" s="421">
        <f t="shared" si="146"/>
        <v>0</v>
      </c>
      <c r="K348" s="418"/>
    </row>
    <row r="349" spans="1:11" hidden="1" x14ac:dyDescent="0.25">
      <c r="A349" s="440"/>
      <c r="B349" s="423" t="s">
        <v>517</v>
      </c>
      <c r="C349" s="423" t="s">
        <v>460</v>
      </c>
      <c r="D349" s="422"/>
      <c r="E349" s="424" t="s">
        <v>461</v>
      </c>
      <c r="F349" s="425">
        <f>SUM(F350)</f>
        <v>6480000</v>
      </c>
      <c r="G349" s="425">
        <f>SUM(G350)</f>
        <v>1620000</v>
      </c>
      <c r="H349" s="425">
        <f>SUM(H350)</f>
        <v>4860000</v>
      </c>
      <c r="I349" s="425">
        <f>SUM(I350)</f>
        <v>6480000</v>
      </c>
      <c r="J349" s="425">
        <f>SUM(J350)</f>
        <v>0</v>
      </c>
      <c r="K349" s="422"/>
    </row>
    <row r="350" spans="1:11" hidden="1" x14ac:dyDescent="0.25">
      <c r="A350" s="439"/>
      <c r="B350" s="427" t="s">
        <v>517</v>
      </c>
      <c r="C350" s="427" t="s">
        <v>462</v>
      </c>
      <c r="D350" s="426"/>
      <c r="E350" s="428" t="s">
        <v>463</v>
      </c>
      <c r="F350" s="429">
        <v>6480000</v>
      </c>
      <c r="G350" s="429">
        <v>1620000</v>
      </c>
      <c r="H350" s="429">
        <f>[2]Nov!I385</f>
        <v>4860000</v>
      </c>
      <c r="I350" s="429">
        <f t="shared" ref="I350" si="147">G350+H350</f>
        <v>6480000</v>
      </c>
      <c r="J350" s="429">
        <f t="shared" ref="J350" si="148">F350-I350</f>
        <v>0</v>
      </c>
      <c r="K350" s="426"/>
    </row>
    <row r="351" spans="1:11" hidden="1" x14ac:dyDescent="0.25">
      <c r="A351" s="439"/>
      <c r="B351" s="427"/>
      <c r="C351" s="427"/>
      <c r="D351" s="426"/>
      <c r="E351" s="428"/>
      <c r="F351" s="429"/>
      <c r="G351" s="429"/>
      <c r="H351" s="429"/>
      <c r="I351" s="429"/>
      <c r="J351" s="429"/>
      <c r="K351" s="426"/>
    </row>
    <row r="352" spans="1:11" x14ac:dyDescent="0.25">
      <c r="A352" s="438"/>
      <c r="B352" s="419" t="s">
        <v>519</v>
      </c>
      <c r="C352" s="438"/>
      <c r="D352" s="418"/>
      <c r="E352" s="420" t="s">
        <v>520</v>
      </c>
      <c r="F352" s="421">
        <f>F353</f>
        <v>16367500</v>
      </c>
      <c r="G352" s="421">
        <f>G353</f>
        <v>1657500</v>
      </c>
      <c r="H352" s="421">
        <f>H353</f>
        <v>14095750</v>
      </c>
      <c r="I352" s="421">
        <f>I353</f>
        <v>15753250</v>
      </c>
      <c r="J352" s="421">
        <f>J353</f>
        <v>614250</v>
      </c>
      <c r="K352" s="418"/>
    </row>
    <row r="353" spans="1:11" hidden="1" x14ac:dyDescent="0.25">
      <c r="A353" s="438"/>
      <c r="B353" s="419" t="s">
        <v>519</v>
      </c>
      <c r="C353" s="419" t="s">
        <v>359</v>
      </c>
      <c r="D353" s="418"/>
      <c r="E353" s="420" t="s">
        <v>67</v>
      </c>
      <c r="F353" s="421">
        <f>F354+F358</f>
        <v>16367500</v>
      </c>
      <c r="G353" s="421">
        <f>G354+G358</f>
        <v>1657500</v>
      </c>
      <c r="H353" s="421">
        <f>H354+H358</f>
        <v>14095750</v>
      </c>
      <c r="I353" s="421">
        <f>I354+I358</f>
        <v>15753250</v>
      </c>
      <c r="J353" s="421">
        <f>J354+J358</f>
        <v>614250</v>
      </c>
      <c r="K353" s="418"/>
    </row>
    <row r="354" spans="1:11" hidden="1" x14ac:dyDescent="0.25">
      <c r="A354" s="440"/>
      <c r="B354" s="423" t="s">
        <v>519</v>
      </c>
      <c r="C354" s="423" t="s">
        <v>360</v>
      </c>
      <c r="D354" s="422"/>
      <c r="E354" s="424" t="s">
        <v>361</v>
      </c>
      <c r="F354" s="425">
        <f>SUM(F355:F357)</f>
        <v>3497500</v>
      </c>
      <c r="G354" s="425">
        <f>SUM(G355:G357)</f>
        <v>585000</v>
      </c>
      <c r="H354" s="425">
        <f>SUM(H355:H357)</f>
        <v>2298250</v>
      </c>
      <c r="I354" s="425">
        <f>SUM(I355:I357)</f>
        <v>2883250</v>
      </c>
      <c r="J354" s="425">
        <f>SUM(J355:J357)</f>
        <v>614250</v>
      </c>
      <c r="K354" s="422"/>
    </row>
    <row r="355" spans="1:11" hidden="1" x14ac:dyDescent="0.25">
      <c r="A355" s="439"/>
      <c r="B355" s="427" t="s">
        <v>519</v>
      </c>
      <c r="C355" s="427" t="s">
        <v>362</v>
      </c>
      <c r="D355" s="426"/>
      <c r="E355" s="428" t="s">
        <v>363</v>
      </c>
      <c r="F355" s="429">
        <v>180000</v>
      </c>
      <c r="G355" s="429">
        <v>0</v>
      </c>
      <c r="H355" s="429">
        <f>[2]Nov!I390</f>
        <v>180000</v>
      </c>
      <c r="I355" s="429">
        <f t="shared" ref="I355:I357" si="149">G355+H355</f>
        <v>180000</v>
      </c>
      <c r="J355" s="429">
        <f t="shared" ref="J355:J357" si="150">F355-I355</f>
        <v>0</v>
      </c>
      <c r="K355" s="426"/>
    </row>
    <row r="356" spans="1:11" hidden="1" x14ac:dyDescent="0.25">
      <c r="A356" s="439"/>
      <c r="B356" s="427" t="s">
        <v>519</v>
      </c>
      <c r="C356" s="427" t="s">
        <v>366</v>
      </c>
      <c r="D356" s="426"/>
      <c r="E356" s="428" t="s">
        <v>367</v>
      </c>
      <c r="F356" s="429">
        <v>100000</v>
      </c>
      <c r="G356" s="429">
        <v>0</v>
      </c>
      <c r="H356" s="429">
        <f>[2]Nov!I391</f>
        <v>100000</v>
      </c>
      <c r="I356" s="429">
        <f t="shared" si="149"/>
        <v>100000</v>
      </c>
      <c r="J356" s="429">
        <f t="shared" si="150"/>
        <v>0</v>
      </c>
      <c r="K356" s="426"/>
    </row>
    <row r="357" spans="1:11" hidden="1" x14ac:dyDescent="0.25">
      <c r="A357" s="439"/>
      <c r="B357" s="427" t="s">
        <v>519</v>
      </c>
      <c r="C357" s="427" t="s">
        <v>368</v>
      </c>
      <c r="D357" s="426"/>
      <c r="E357" s="428" t="s">
        <v>369</v>
      </c>
      <c r="F357" s="429">
        <v>3217500</v>
      </c>
      <c r="G357" s="429">
        <v>585000</v>
      </c>
      <c r="H357" s="429">
        <f>[2]Nov!I392</f>
        <v>2018250</v>
      </c>
      <c r="I357" s="429">
        <f t="shared" si="149"/>
        <v>2603250</v>
      </c>
      <c r="J357" s="429">
        <f t="shared" si="150"/>
        <v>614250</v>
      </c>
      <c r="K357" s="426"/>
    </row>
    <row r="358" spans="1:11" hidden="1" x14ac:dyDescent="0.25">
      <c r="A358" s="440"/>
      <c r="B358" s="423" t="s">
        <v>519</v>
      </c>
      <c r="C358" s="423" t="s">
        <v>370</v>
      </c>
      <c r="D358" s="422"/>
      <c r="E358" s="424" t="s">
        <v>81</v>
      </c>
      <c r="F358" s="425">
        <f>SUM(F359)</f>
        <v>12870000</v>
      </c>
      <c r="G358" s="425">
        <f>SUM(G359)</f>
        <v>1072500</v>
      </c>
      <c r="H358" s="425">
        <f>SUM(H359)</f>
        <v>11797500</v>
      </c>
      <c r="I358" s="425">
        <f>SUM(I359)</f>
        <v>12870000</v>
      </c>
      <c r="J358" s="425">
        <f>SUM(J359)</f>
        <v>0</v>
      </c>
      <c r="K358" s="422"/>
    </row>
    <row r="359" spans="1:11" hidden="1" x14ac:dyDescent="0.25">
      <c r="A359" s="439"/>
      <c r="B359" s="427" t="s">
        <v>519</v>
      </c>
      <c r="C359" s="427" t="s">
        <v>398</v>
      </c>
      <c r="D359" s="426"/>
      <c r="E359" s="428" t="s">
        <v>399</v>
      </c>
      <c r="F359" s="429">
        <v>12870000</v>
      </c>
      <c r="G359" s="429">
        <v>1072500</v>
      </c>
      <c r="H359" s="429">
        <f>[2]Nov!I394</f>
        <v>11797500</v>
      </c>
      <c r="I359" s="429">
        <f t="shared" ref="I359" si="151">G359+H359</f>
        <v>12870000</v>
      </c>
      <c r="J359" s="429">
        <f t="shared" ref="J359" si="152">F359-I359</f>
        <v>0</v>
      </c>
      <c r="K359" s="426"/>
    </row>
    <row r="360" spans="1:11" hidden="1" x14ac:dyDescent="0.25">
      <c r="A360" s="439"/>
      <c r="B360" s="427"/>
      <c r="C360" s="427"/>
      <c r="D360" s="426"/>
      <c r="E360" s="428"/>
      <c r="F360" s="429"/>
      <c r="G360" s="429"/>
      <c r="H360" s="429"/>
      <c r="I360" s="429"/>
      <c r="J360" s="429"/>
      <c r="K360" s="426"/>
    </row>
    <row r="361" spans="1:11" x14ac:dyDescent="0.25">
      <c r="A361" s="438"/>
      <c r="B361" s="419" t="s">
        <v>521</v>
      </c>
      <c r="C361" s="438"/>
      <c r="D361" s="418"/>
      <c r="E361" s="420" t="s">
        <v>522</v>
      </c>
      <c r="F361" s="421">
        <f>F362</f>
        <v>2270000</v>
      </c>
      <c r="G361" s="421">
        <f>G362</f>
        <v>0</v>
      </c>
      <c r="H361" s="421">
        <f>H362</f>
        <v>2270000</v>
      </c>
      <c r="I361" s="421">
        <f>I362</f>
        <v>2270000</v>
      </c>
      <c r="J361" s="421">
        <f>J362</f>
        <v>0</v>
      </c>
      <c r="K361" s="418"/>
    </row>
    <row r="362" spans="1:11" hidden="1" x14ac:dyDescent="0.25">
      <c r="A362" s="438"/>
      <c r="B362" s="419" t="s">
        <v>521</v>
      </c>
      <c r="C362" s="419" t="s">
        <v>359</v>
      </c>
      <c r="D362" s="418"/>
      <c r="E362" s="420" t="s">
        <v>67</v>
      </c>
      <c r="F362" s="421">
        <f>F363+F366</f>
        <v>2270000</v>
      </c>
      <c r="G362" s="421">
        <f>G363+G366</f>
        <v>0</v>
      </c>
      <c r="H362" s="421">
        <f>H363+H366</f>
        <v>2270000</v>
      </c>
      <c r="I362" s="421">
        <f>I363+I366</f>
        <v>2270000</v>
      </c>
      <c r="J362" s="421">
        <f>J363+J366</f>
        <v>0</v>
      </c>
      <c r="K362" s="418"/>
    </row>
    <row r="363" spans="1:11" hidden="1" x14ac:dyDescent="0.25">
      <c r="A363" s="440"/>
      <c r="B363" s="423" t="s">
        <v>521</v>
      </c>
      <c r="C363" s="423" t="s">
        <v>360</v>
      </c>
      <c r="D363" s="422"/>
      <c r="E363" s="424" t="s">
        <v>361</v>
      </c>
      <c r="F363" s="425">
        <f>SUM(F364:F365)</f>
        <v>1070000</v>
      </c>
      <c r="G363" s="425">
        <f>SUM(G364:G365)</f>
        <v>0</v>
      </c>
      <c r="H363" s="425">
        <f>SUM(H364:H365)</f>
        <v>1070000</v>
      </c>
      <c r="I363" s="425">
        <f>SUM(I364:I365)</f>
        <v>1070000</v>
      </c>
      <c r="J363" s="425">
        <f>SUM(J364:J365)</f>
        <v>0</v>
      </c>
      <c r="K363" s="422"/>
    </row>
    <row r="364" spans="1:11" hidden="1" x14ac:dyDescent="0.25">
      <c r="A364" s="439"/>
      <c r="B364" s="427" t="s">
        <v>521</v>
      </c>
      <c r="C364" s="427" t="s">
        <v>366</v>
      </c>
      <c r="D364" s="426"/>
      <c r="E364" s="428" t="s">
        <v>367</v>
      </c>
      <c r="F364" s="429">
        <v>30000</v>
      </c>
      <c r="G364" s="429">
        <v>0</v>
      </c>
      <c r="H364" s="429">
        <f>[2]Nov!I399</f>
        <v>30000</v>
      </c>
      <c r="I364" s="429">
        <f t="shared" ref="I364:I365" si="153">G364+H364</f>
        <v>30000</v>
      </c>
      <c r="J364" s="429">
        <f t="shared" ref="J364:J365" si="154">F364-I364</f>
        <v>0</v>
      </c>
      <c r="K364" s="426"/>
    </row>
    <row r="365" spans="1:11" hidden="1" x14ac:dyDescent="0.25">
      <c r="A365" s="439"/>
      <c r="B365" s="427" t="s">
        <v>521</v>
      </c>
      <c r="C365" s="427" t="s">
        <v>368</v>
      </c>
      <c r="D365" s="426"/>
      <c r="E365" s="428" t="s">
        <v>369</v>
      </c>
      <c r="F365" s="429">
        <v>1040000</v>
      </c>
      <c r="G365" s="429">
        <v>0</v>
      </c>
      <c r="H365" s="429">
        <f>[2]Nov!I400</f>
        <v>1040000</v>
      </c>
      <c r="I365" s="429">
        <f t="shared" si="153"/>
        <v>1040000</v>
      </c>
      <c r="J365" s="429">
        <f t="shared" si="154"/>
        <v>0</v>
      </c>
      <c r="K365" s="426"/>
    </row>
    <row r="366" spans="1:11" hidden="1" x14ac:dyDescent="0.25">
      <c r="A366" s="440"/>
      <c r="B366" s="423" t="s">
        <v>521</v>
      </c>
      <c r="C366" s="423" t="s">
        <v>370</v>
      </c>
      <c r="D366" s="422"/>
      <c r="E366" s="424" t="s">
        <v>81</v>
      </c>
      <c r="F366" s="425">
        <f>SUM(F367:F368)</f>
        <v>1200000</v>
      </c>
      <c r="G366" s="425">
        <f>SUM(G367:G368)</f>
        <v>0</v>
      </c>
      <c r="H366" s="425">
        <f>SUM(H367:H368)</f>
        <v>1200000</v>
      </c>
      <c r="I366" s="425">
        <f>SUM(I367:I368)</f>
        <v>1200000</v>
      </c>
      <c r="J366" s="425">
        <f>SUM(J367:J368)</f>
        <v>0</v>
      </c>
      <c r="K366" s="422"/>
    </row>
    <row r="367" spans="1:11" hidden="1" x14ac:dyDescent="0.25">
      <c r="A367" s="439"/>
      <c r="B367" s="427" t="s">
        <v>521</v>
      </c>
      <c r="C367" s="427" t="s">
        <v>476</v>
      </c>
      <c r="D367" s="426"/>
      <c r="E367" s="428" t="s">
        <v>477</v>
      </c>
      <c r="F367" s="429">
        <v>450000</v>
      </c>
      <c r="G367" s="429">
        <v>0</v>
      </c>
      <c r="H367" s="429">
        <f>[2]Nov!I402</f>
        <v>450000</v>
      </c>
      <c r="I367" s="429">
        <f t="shared" ref="I367:I368" si="155">G367+H367</f>
        <v>450000</v>
      </c>
      <c r="J367" s="429">
        <f t="shared" ref="J367:J368" si="156">F367-I367</f>
        <v>0</v>
      </c>
      <c r="K367" s="426"/>
    </row>
    <row r="368" spans="1:11" hidden="1" x14ac:dyDescent="0.25">
      <c r="A368" s="450"/>
      <c r="B368" s="451" t="s">
        <v>521</v>
      </c>
      <c r="C368" s="451" t="s">
        <v>478</v>
      </c>
      <c r="D368" s="452"/>
      <c r="E368" s="453" t="s">
        <v>479</v>
      </c>
      <c r="F368" s="454">
        <v>750000</v>
      </c>
      <c r="G368" s="454">
        <v>0</v>
      </c>
      <c r="H368" s="429">
        <f>[2]Nov!I403</f>
        <v>750000</v>
      </c>
      <c r="I368" s="454">
        <f t="shared" si="155"/>
        <v>750000</v>
      </c>
      <c r="J368" s="454">
        <f t="shared" si="156"/>
        <v>0</v>
      </c>
      <c r="K368" s="452"/>
    </row>
    <row r="369" spans="1:11" hidden="1" x14ac:dyDescent="0.25">
      <c r="A369" s="439"/>
      <c r="B369" s="427"/>
      <c r="C369" s="427"/>
      <c r="D369" s="426"/>
      <c r="E369" s="428"/>
      <c r="F369" s="429"/>
      <c r="G369" s="429"/>
      <c r="H369" s="429"/>
      <c r="I369" s="429"/>
      <c r="J369" s="429"/>
      <c r="K369" s="426"/>
    </row>
    <row r="370" spans="1:11" x14ac:dyDescent="0.25">
      <c r="A370" s="455"/>
      <c r="B370" s="456" t="s">
        <v>523</v>
      </c>
      <c r="C370" s="455"/>
      <c r="D370" s="458" t="s">
        <v>102</v>
      </c>
      <c r="E370" s="457"/>
      <c r="F370" s="459">
        <f>F371+F385+F398+F410+F420</f>
        <v>588646942</v>
      </c>
      <c r="G370" s="459">
        <f>G371+G385+G398+G410+G420</f>
        <v>18494130</v>
      </c>
      <c r="H370" s="459">
        <f>H371+H385+H398+H410+H420</f>
        <v>304450700</v>
      </c>
      <c r="I370" s="459">
        <f>I371+I385+I398+I410+I420</f>
        <v>322944830</v>
      </c>
      <c r="J370" s="459">
        <f>J371+J385+J398+J410+J420</f>
        <v>265702112</v>
      </c>
      <c r="K370" s="457"/>
    </row>
    <row r="371" spans="1:11" ht="14.25" customHeight="1" x14ac:dyDescent="0.25">
      <c r="A371" s="438"/>
      <c r="B371" s="419" t="s">
        <v>524</v>
      </c>
      <c r="C371" s="438"/>
      <c r="D371" s="418"/>
      <c r="E371" s="420" t="s">
        <v>525</v>
      </c>
      <c r="F371" s="421">
        <f>F372+F378</f>
        <v>531695942</v>
      </c>
      <c r="G371" s="421">
        <f>G372+G378</f>
        <v>0</v>
      </c>
      <c r="H371" s="421">
        <f>H372+H378</f>
        <v>294514700</v>
      </c>
      <c r="I371" s="421">
        <f>I372+I378</f>
        <v>294514700</v>
      </c>
      <c r="J371" s="421">
        <f>J372+J378</f>
        <v>237181242</v>
      </c>
      <c r="K371" s="418"/>
    </row>
    <row r="372" spans="1:11" hidden="1" x14ac:dyDescent="0.25">
      <c r="A372" s="438"/>
      <c r="B372" s="419" t="s">
        <v>524</v>
      </c>
      <c r="C372" s="419" t="s">
        <v>359</v>
      </c>
      <c r="D372" s="418"/>
      <c r="E372" s="420" t="s">
        <v>67</v>
      </c>
      <c r="F372" s="421">
        <f>F373</f>
        <v>1658462</v>
      </c>
      <c r="G372" s="421">
        <f>G373</f>
        <v>0</v>
      </c>
      <c r="H372" s="421">
        <f>H373</f>
        <v>644750</v>
      </c>
      <c r="I372" s="421">
        <f>I373</f>
        <v>644750</v>
      </c>
      <c r="J372" s="421">
        <f>J373</f>
        <v>1013712</v>
      </c>
      <c r="K372" s="418"/>
    </row>
    <row r="373" spans="1:11" hidden="1" x14ac:dyDescent="0.25">
      <c r="A373" s="440"/>
      <c r="B373" s="423" t="s">
        <v>524</v>
      </c>
      <c r="C373" s="423" t="s">
        <v>360</v>
      </c>
      <c r="D373" s="422"/>
      <c r="E373" s="424" t="s">
        <v>361</v>
      </c>
      <c r="F373" s="425">
        <f>SUM(F374:F377)</f>
        <v>1658462</v>
      </c>
      <c r="G373" s="425">
        <f>SUM(G374:G377)</f>
        <v>0</v>
      </c>
      <c r="H373" s="425">
        <f>SUM(H374:H377)</f>
        <v>644750</v>
      </c>
      <c r="I373" s="425">
        <f>SUM(I374:I377)</f>
        <v>644750</v>
      </c>
      <c r="J373" s="425">
        <f>SUM(J374:J377)</f>
        <v>1013712</v>
      </c>
      <c r="K373" s="422"/>
    </row>
    <row r="374" spans="1:11" hidden="1" x14ac:dyDescent="0.25">
      <c r="A374" s="439"/>
      <c r="B374" s="427" t="s">
        <v>524</v>
      </c>
      <c r="C374" s="427" t="s">
        <v>362</v>
      </c>
      <c r="D374" s="426"/>
      <c r="E374" s="428" t="s">
        <v>363</v>
      </c>
      <c r="F374" s="429">
        <v>125000</v>
      </c>
      <c r="G374" s="429">
        <v>0</v>
      </c>
      <c r="H374" s="429">
        <f>[2]Nov!I409</f>
        <v>50000</v>
      </c>
      <c r="I374" s="429">
        <f t="shared" ref="I374:I377" si="157">G374+H374</f>
        <v>50000</v>
      </c>
      <c r="J374" s="429">
        <f t="shared" ref="J374:J377" si="158">F374-I374</f>
        <v>75000</v>
      </c>
      <c r="K374" s="426"/>
    </row>
    <row r="375" spans="1:11" hidden="1" x14ac:dyDescent="0.25">
      <c r="A375" s="439"/>
      <c r="B375" s="427" t="s">
        <v>524</v>
      </c>
      <c r="C375" s="427" t="s">
        <v>366</v>
      </c>
      <c r="D375" s="426"/>
      <c r="E375" s="428" t="s">
        <v>367</v>
      </c>
      <c r="F375" s="429">
        <v>170962</v>
      </c>
      <c r="G375" s="429">
        <v>0</v>
      </c>
      <c r="H375" s="429">
        <f>[2]Nov!I410</f>
        <v>69750</v>
      </c>
      <c r="I375" s="429">
        <f t="shared" si="157"/>
        <v>69750</v>
      </c>
      <c r="J375" s="429">
        <f t="shared" si="158"/>
        <v>101212</v>
      </c>
      <c r="K375" s="426"/>
    </row>
    <row r="376" spans="1:11" hidden="1" x14ac:dyDescent="0.25">
      <c r="A376" s="439"/>
      <c r="B376" s="427" t="s">
        <v>524</v>
      </c>
      <c r="C376" s="427" t="s">
        <v>368</v>
      </c>
      <c r="D376" s="426"/>
      <c r="E376" s="428" t="s">
        <v>369</v>
      </c>
      <c r="F376" s="429">
        <v>487500</v>
      </c>
      <c r="G376" s="429">
        <v>0</v>
      </c>
      <c r="H376" s="429">
        <f>[2]Nov!I411</f>
        <v>0</v>
      </c>
      <c r="I376" s="429">
        <f t="shared" si="157"/>
        <v>0</v>
      </c>
      <c r="J376" s="429">
        <f t="shared" si="158"/>
        <v>487500</v>
      </c>
      <c r="K376" s="426"/>
    </row>
    <row r="377" spans="1:11" hidden="1" x14ac:dyDescent="0.25">
      <c r="A377" s="439"/>
      <c r="B377" s="427" t="s">
        <v>524</v>
      </c>
      <c r="C377" s="427" t="s">
        <v>487</v>
      </c>
      <c r="D377" s="426"/>
      <c r="E377" s="428" t="s">
        <v>488</v>
      </c>
      <c r="F377" s="429">
        <v>875000</v>
      </c>
      <c r="G377" s="429">
        <v>0</v>
      </c>
      <c r="H377" s="429">
        <f>[2]Nov!I412</f>
        <v>525000</v>
      </c>
      <c r="I377" s="429">
        <f t="shared" si="157"/>
        <v>525000</v>
      </c>
      <c r="J377" s="429">
        <f t="shared" si="158"/>
        <v>350000</v>
      </c>
      <c r="K377" s="426"/>
    </row>
    <row r="378" spans="1:11" hidden="1" x14ac:dyDescent="0.25">
      <c r="A378" s="438"/>
      <c r="B378" s="419" t="s">
        <v>524</v>
      </c>
      <c r="C378" s="419" t="s">
        <v>404</v>
      </c>
      <c r="D378" s="418"/>
      <c r="E378" s="420" t="s">
        <v>68</v>
      </c>
      <c r="F378" s="421">
        <f>F379</f>
        <v>530037480</v>
      </c>
      <c r="G378" s="421">
        <f>G379</f>
        <v>0</v>
      </c>
      <c r="H378" s="421">
        <f>H379</f>
        <v>293869950</v>
      </c>
      <c r="I378" s="421">
        <f>I379</f>
        <v>293869950</v>
      </c>
      <c r="J378" s="421">
        <f>J379</f>
        <v>236167530</v>
      </c>
      <c r="K378" s="418"/>
    </row>
    <row r="379" spans="1:11" hidden="1" x14ac:dyDescent="0.25">
      <c r="A379" s="440"/>
      <c r="B379" s="423" t="s">
        <v>524</v>
      </c>
      <c r="C379" s="423" t="s">
        <v>526</v>
      </c>
      <c r="D379" s="422"/>
      <c r="E379" s="424" t="s">
        <v>527</v>
      </c>
      <c r="F379" s="425">
        <f>SUM(F380:F383)</f>
        <v>530037480</v>
      </c>
      <c r="G379" s="425">
        <f>SUM(G380:G383)</f>
        <v>0</v>
      </c>
      <c r="H379" s="425">
        <f>SUM(H380:H383)</f>
        <v>293869950</v>
      </c>
      <c r="I379" s="425">
        <f>SUM(I380:I383)</f>
        <v>293869950</v>
      </c>
      <c r="J379" s="425">
        <f>SUM(J380:J383)</f>
        <v>236167530</v>
      </c>
      <c r="K379" s="422"/>
    </row>
    <row r="380" spans="1:11" hidden="1" x14ac:dyDescent="0.25">
      <c r="A380" s="439"/>
      <c r="B380" s="427" t="s">
        <v>524</v>
      </c>
      <c r="C380" s="427" t="s">
        <v>528</v>
      </c>
      <c r="D380" s="426"/>
      <c r="E380" s="428" t="s">
        <v>529</v>
      </c>
      <c r="F380" s="429">
        <v>7500000</v>
      </c>
      <c r="G380" s="429">
        <v>0</v>
      </c>
      <c r="H380" s="429">
        <f>[2]Nov!I415</f>
        <v>5000000</v>
      </c>
      <c r="I380" s="429">
        <f t="shared" ref="I380:I383" si="159">G380+H380</f>
        <v>5000000</v>
      </c>
      <c r="J380" s="429">
        <f t="shared" ref="J380:J383" si="160">F380-I380</f>
        <v>2500000</v>
      </c>
      <c r="K380" s="426"/>
    </row>
    <row r="381" spans="1:11" hidden="1" x14ac:dyDescent="0.25">
      <c r="A381" s="439"/>
      <c r="B381" s="427" t="s">
        <v>524</v>
      </c>
      <c r="C381" s="427" t="s">
        <v>530</v>
      </c>
      <c r="D381" s="426"/>
      <c r="E381" s="428" t="s">
        <v>531</v>
      </c>
      <c r="F381" s="429">
        <v>134322000</v>
      </c>
      <c r="G381" s="429">
        <v>0</v>
      </c>
      <c r="H381" s="429">
        <f>[2]Nov!I416</f>
        <v>98902000</v>
      </c>
      <c r="I381" s="429">
        <f t="shared" si="159"/>
        <v>98902000</v>
      </c>
      <c r="J381" s="429">
        <f t="shared" si="160"/>
        <v>35420000</v>
      </c>
      <c r="K381" s="426"/>
    </row>
    <row r="382" spans="1:11" hidden="1" x14ac:dyDescent="0.25">
      <c r="A382" s="439"/>
      <c r="B382" s="427" t="s">
        <v>524</v>
      </c>
      <c r="C382" s="427" t="s">
        <v>532</v>
      </c>
      <c r="D382" s="426"/>
      <c r="E382" s="428" t="s">
        <v>533</v>
      </c>
      <c r="F382" s="429">
        <v>359620000</v>
      </c>
      <c r="G382" s="429">
        <v>0</v>
      </c>
      <c r="H382" s="429">
        <f>[2]Nov!I417</f>
        <v>189967950</v>
      </c>
      <c r="I382" s="429">
        <f t="shared" si="159"/>
        <v>189967950</v>
      </c>
      <c r="J382" s="429">
        <f t="shared" si="160"/>
        <v>169652050</v>
      </c>
      <c r="K382" s="426"/>
    </row>
    <row r="383" spans="1:11" hidden="1" x14ac:dyDescent="0.25">
      <c r="A383" s="450"/>
      <c r="B383" s="451" t="s">
        <v>524</v>
      </c>
      <c r="C383" s="451" t="s">
        <v>534</v>
      </c>
      <c r="D383" s="452"/>
      <c r="E383" s="453" t="s">
        <v>535</v>
      </c>
      <c r="F383" s="454">
        <v>28595480</v>
      </c>
      <c r="G383" s="454">
        <v>0</v>
      </c>
      <c r="H383" s="429">
        <f>[2]Nov!I418</f>
        <v>0</v>
      </c>
      <c r="I383" s="454">
        <f t="shared" si="159"/>
        <v>0</v>
      </c>
      <c r="J383" s="454">
        <f t="shared" si="160"/>
        <v>28595480</v>
      </c>
      <c r="K383" s="452"/>
    </row>
    <row r="384" spans="1:11" hidden="1" x14ac:dyDescent="0.25">
      <c r="A384" s="450"/>
      <c r="B384" s="451"/>
      <c r="C384" s="451"/>
      <c r="D384" s="452"/>
      <c r="E384" s="453"/>
      <c r="F384" s="454"/>
      <c r="G384" s="454"/>
      <c r="H384" s="429"/>
      <c r="I384" s="454"/>
      <c r="J384" s="454"/>
      <c r="K384" s="452"/>
    </row>
    <row r="385" spans="1:11" ht="38.25" hidden="1" x14ac:dyDescent="0.25">
      <c r="A385" s="438"/>
      <c r="B385" s="449" t="s">
        <v>536</v>
      </c>
      <c r="C385" s="438"/>
      <c r="D385" s="418"/>
      <c r="E385" s="484" t="s">
        <v>537</v>
      </c>
      <c r="F385" s="443">
        <f>F386+F392</f>
        <v>0</v>
      </c>
      <c r="G385" s="443">
        <f>G386+G392</f>
        <v>0</v>
      </c>
      <c r="H385" s="443">
        <f>H386+H392</f>
        <v>0</v>
      </c>
      <c r="I385" s="443">
        <f>I386+I392</f>
        <v>0</v>
      </c>
      <c r="J385" s="443">
        <f>J386+J392</f>
        <v>0</v>
      </c>
      <c r="K385" s="418"/>
    </row>
    <row r="386" spans="1:11" hidden="1" x14ac:dyDescent="0.25">
      <c r="A386" s="438"/>
      <c r="B386" s="419" t="s">
        <v>536</v>
      </c>
      <c r="C386" s="419" t="s">
        <v>359</v>
      </c>
      <c r="D386" s="418"/>
      <c r="E386" s="420" t="s">
        <v>67</v>
      </c>
      <c r="F386" s="421">
        <f>F387</f>
        <v>0</v>
      </c>
      <c r="G386" s="421">
        <f>G387</f>
        <v>0</v>
      </c>
      <c r="H386" s="421">
        <f>H387</f>
        <v>0</v>
      </c>
      <c r="I386" s="421">
        <f>I387</f>
        <v>0</v>
      </c>
      <c r="J386" s="421">
        <f>J387</f>
        <v>0</v>
      </c>
      <c r="K386" s="418"/>
    </row>
    <row r="387" spans="1:11" hidden="1" x14ac:dyDescent="0.25">
      <c r="A387" s="440"/>
      <c r="B387" s="423" t="s">
        <v>536</v>
      </c>
      <c r="C387" s="423" t="s">
        <v>360</v>
      </c>
      <c r="D387" s="422"/>
      <c r="E387" s="424" t="s">
        <v>361</v>
      </c>
      <c r="F387" s="425">
        <f>SUM(F388:F391)</f>
        <v>0</v>
      </c>
      <c r="G387" s="425">
        <f>SUM(G388:G391)</f>
        <v>0</v>
      </c>
      <c r="H387" s="425">
        <f>SUM(H388:H391)</f>
        <v>0</v>
      </c>
      <c r="I387" s="425">
        <f>SUM(I388:I391)</f>
        <v>0</v>
      </c>
      <c r="J387" s="425">
        <f>SUM(J388:J391)</f>
        <v>0</v>
      </c>
      <c r="K387" s="422"/>
    </row>
    <row r="388" spans="1:11" hidden="1" x14ac:dyDescent="0.25">
      <c r="A388" s="439"/>
      <c r="B388" s="427" t="s">
        <v>536</v>
      </c>
      <c r="C388" s="427" t="s">
        <v>362</v>
      </c>
      <c r="D388" s="426"/>
      <c r="E388" s="428" t="s">
        <v>363</v>
      </c>
      <c r="F388" s="429">
        <v>0</v>
      </c>
      <c r="G388" s="429">
        <v>0</v>
      </c>
      <c r="H388" s="429">
        <f>[2]Nov!I426</f>
        <v>0</v>
      </c>
      <c r="I388" s="429">
        <f t="shared" ref="I388:I391" si="161">G388+H388</f>
        <v>0</v>
      </c>
      <c r="J388" s="429">
        <f t="shared" ref="J388:J391" si="162">F388-I388</f>
        <v>0</v>
      </c>
      <c r="K388" s="426"/>
    </row>
    <row r="389" spans="1:11" hidden="1" x14ac:dyDescent="0.25">
      <c r="A389" s="439"/>
      <c r="B389" s="427" t="s">
        <v>536</v>
      </c>
      <c r="C389" s="427" t="s">
        <v>366</v>
      </c>
      <c r="D389" s="426"/>
      <c r="E389" s="428" t="s">
        <v>367</v>
      </c>
      <c r="F389" s="429">
        <v>0</v>
      </c>
      <c r="G389" s="429">
        <v>0</v>
      </c>
      <c r="H389" s="429">
        <f>[2]Nov!I427</f>
        <v>0</v>
      </c>
      <c r="I389" s="429">
        <f t="shared" si="161"/>
        <v>0</v>
      </c>
      <c r="J389" s="429">
        <f t="shared" si="162"/>
        <v>0</v>
      </c>
      <c r="K389" s="426"/>
    </row>
    <row r="390" spans="1:11" hidden="1" x14ac:dyDescent="0.25">
      <c r="A390" s="439"/>
      <c r="B390" s="427" t="s">
        <v>536</v>
      </c>
      <c r="C390" s="427" t="s">
        <v>368</v>
      </c>
      <c r="D390" s="426"/>
      <c r="E390" s="428" t="s">
        <v>369</v>
      </c>
      <c r="F390" s="429">
        <v>0</v>
      </c>
      <c r="G390" s="429">
        <v>0</v>
      </c>
      <c r="H390" s="429">
        <f>[2]Nov!I428</f>
        <v>0</v>
      </c>
      <c r="I390" s="429">
        <f t="shared" si="161"/>
        <v>0</v>
      </c>
      <c r="J390" s="429">
        <f t="shared" si="162"/>
        <v>0</v>
      </c>
      <c r="K390" s="426"/>
    </row>
    <row r="391" spans="1:11" hidden="1" x14ac:dyDescent="0.25">
      <c r="A391" s="439"/>
      <c r="B391" s="427" t="s">
        <v>536</v>
      </c>
      <c r="C391" s="427" t="s">
        <v>487</v>
      </c>
      <c r="D391" s="426"/>
      <c r="E391" s="428" t="s">
        <v>488</v>
      </c>
      <c r="F391" s="429">
        <v>0</v>
      </c>
      <c r="G391" s="429">
        <v>0</v>
      </c>
      <c r="H391" s="429">
        <f>[2]Nov!I429</f>
        <v>0</v>
      </c>
      <c r="I391" s="429">
        <f t="shared" si="161"/>
        <v>0</v>
      </c>
      <c r="J391" s="429">
        <f t="shared" si="162"/>
        <v>0</v>
      </c>
      <c r="K391" s="426"/>
    </row>
    <row r="392" spans="1:11" hidden="1" x14ac:dyDescent="0.25">
      <c r="A392" s="438"/>
      <c r="B392" s="419" t="s">
        <v>536</v>
      </c>
      <c r="C392" s="419" t="s">
        <v>404</v>
      </c>
      <c r="D392" s="418"/>
      <c r="E392" s="420" t="s">
        <v>68</v>
      </c>
      <c r="F392" s="421">
        <f>F393</f>
        <v>0</v>
      </c>
      <c r="G392" s="421">
        <f>G393</f>
        <v>0</v>
      </c>
      <c r="H392" s="421">
        <f>H393</f>
        <v>0</v>
      </c>
      <c r="I392" s="421">
        <f>I393</f>
        <v>0</v>
      </c>
      <c r="J392" s="421">
        <f>J393</f>
        <v>0</v>
      </c>
      <c r="K392" s="418"/>
    </row>
    <row r="393" spans="1:11" hidden="1" x14ac:dyDescent="0.25">
      <c r="A393" s="440"/>
      <c r="B393" s="423" t="s">
        <v>536</v>
      </c>
      <c r="C393" s="423" t="s">
        <v>526</v>
      </c>
      <c r="D393" s="422"/>
      <c r="E393" s="424" t="s">
        <v>527</v>
      </c>
      <c r="F393" s="425">
        <f>SUM(F394:F396)</f>
        <v>0</v>
      </c>
      <c r="G393" s="425">
        <f>SUM(G394:G396)</f>
        <v>0</v>
      </c>
      <c r="H393" s="425">
        <f>SUM(H394:H396)</f>
        <v>0</v>
      </c>
      <c r="I393" s="425">
        <f>SUM(I394:I396)</f>
        <v>0</v>
      </c>
      <c r="J393" s="425">
        <f>SUM(J394:J396)</f>
        <v>0</v>
      </c>
      <c r="K393" s="422"/>
    </row>
    <row r="394" spans="1:11" hidden="1" x14ac:dyDescent="0.25">
      <c r="A394" s="439"/>
      <c r="B394" s="427" t="s">
        <v>536</v>
      </c>
      <c r="C394" s="427" t="s">
        <v>528</v>
      </c>
      <c r="D394" s="426"/>
      <c r="E394" s="428" t="s">
        <v>529</v>
      </c>
      <c r="F394" s="429">
        <v>0</v>
      </c>
      <c r="G394" s="429">
        <v>0</v>
      </c>
      <c r="H394" s="429">
        <f>[2]Nov!I432</f>
        <v>0</v>
      </c>
      <c r="I394" s="429">
        <f t="shared" ref="I394:I396" si="163">G394+H394</f>
        <v>0</v>
      </c>
      <c r="J394" s="429">
        <f t="shared" ref="J394:J396" si="164">F394-I394</f>
        <v>0</v>
      </c>
      <c r="K394" s="426"/>
    </row>
    <row r="395" spans="1:11" hidden="1" x14ac:dyDescent="0.25">
      <c r="A395" s="439"/>
      <c r="B395" s="427" t="s">
        <v>536</v>
      </c>
      <c r="C395" s="427" t="s">
        <v>532</v>
      </c>
      <c r="D395" s="426"/>
      <c r="E395" s="428" t="s">
        <v>533</v>
      </c>
      <c r="F395" s="429">
        <v>0</v>
      </c>
      <c r="G395" s="429">
        <v>0</v>
      </c>
      <c r="H395" s="429">
        <f>[2]Nov!I433</f>
        <v>0</v>
      </c>
      <c r="I395" s="429">
        <f t="shared" si="163"/>
        <v>0</v>
      </c>
      <c r="J395" s="429">
        <f t="shared" si="164"/>
        <v>0</v>
      </c>
      <c r="K395" s="426"/>
    </row>
    <row r="396" spans="1:11" hidden="1" x14ac:dyDescent="0.25">
      <c r="A396" s="439"/>
      <c r="B396" s="427" t="s">
        <v>536</v>
      </c>
      <c r="C396" s="427" t="s">
        <v>534</v>
      </c>
      <c r="D396" s="426"/>
      <c r="E396" s="428" t="s">
        <v>535</v>
      </c>
      <c r="F396" s="429">
        <v>0</v>
      </c>
      <c r="G396" s="429">
        <v>0</v>
      </c>
      <c r="H396" s="429">
        <f>[2]Nov!I434</f>
        <v>0</v>
      </c>
      <c r="I396" s="429">
        <f t="shared" si="163"/>
        <v>0</v>
      </c>
      <c r="J396" s="429">
        <f t="shared" si="164"/>
        <v>0</v>
      </c>
      <c r="K396" s="426"/>
    </row>
    <row r="397" spans="1:11" hidden="1" x14ac:dyDescent="0.25">
      <c r="A397" s="439"/>
      <c r="B397" s="427"/>
      <c r="C397" s="427"/>
      <c r="D397" s="426"/>
      <c r="E397" s="428"/>
      <c r="F397" s="429"/>
      <c r="G397" s="429"/>
      <c r="H397" s="429"/>
      <c r="I397" s="429"/>
      <c r="J397" s="429"/>
      <c r="K397" s="426"/>
    </row>
    <row r="398" spans="1:11" ht="38.25" hidden="1" x14ac:dyDescent="0.25">
      <c r="A398" s="438"/>
      <c r="B398" s="449" t="s">
        <v>538</v>
      </c>
      <c r="C398" s="438"/>
      <c r="D398" s="418"/>
      <c r="E398" s="484" t="s">
        <v>539</v>
      </c>
      <c r="F398" s="443">
        <f>F399+F405</f>
        <v>0</v>
      </c>
      <c r="G398" s="443">
        <f>G399+G405</f>
        <v>0</v>
      </c>
      <c r="H398" s="443">
        <f>H399+H405</f>
        <v>0</v>
      </c>
      <c r="I398" s="443">
        <f>I399+I405</f>
        <v>0</v>
      </c>
      <c r="J398" s="443">
        <f>J399+J405</f>
        <v>0</v>
      </c>
      <c r="K398" s="418"/>
    </row>
    <row r="399" spans="1:11" hidden="1" x14ac:dyDescent="0.25">
      <c r="A399" s="438"/>
      <c r="B399" s="419" t="s">
        <v>538</v>
      </c>
      <c r="C399" s="419" t="s">
        <v>359</v>
      </c>
      <c r="D399" s="418"/>
      <c r="E399" s="420" t="s">
        <v>67</v>
      </c>
      <c r="F399" s="421">
        <f>F400</f>
        <v>0</v>
      </c>
      <c r="G399" s="421">
        <f>G400</f>
        <v>0</v>
      </c>
      <c r="H399" s="421">
        <f>H400</f>
        <v>0</v>
      </c>
      <c r="I399" s="421">
        <f>I400</f>
        <v>0</v>
      </c>
      <c r="J399" s="421">
        <f>J400</f>
        <v>0</v>
      </c>
      <c r="K399" s="418"/>
    </row>
    <row r="400" spans="1:11" hidden="1" x14ac:dyDescent="0.25">
      <c r="A400" s="440"/>
      <c r="B400" s="423" t="s">
        <v>538</v>
      </c>
      <c r="C400" s="423" t="s">
        <v>360</v>
      </c>
      <c r="D400" s="422"/>
      <c r="E400" s="424" t="s">
        <v>361</v>
      </c>
      <c r="F400" s="425">
        <f>SUM(F401:F404)</f>
        <v>0</v>
      </c>
      <c r="G400" s="425">
        <f>SUM(G401:G404)</f>
        <v>0</v>
      </c>
      <c r="H400" s="425">
        <f>SUM(H401:H404)</f>
        <v>0</v>
      </c>
      <c r="I400" s="425">
        <f>SUM(I401:I404)</f>
        <v>0</v>
      </c>
      <c r="J400" s="425">
        <f>SUM(J401:J404)</f>
        <v>0</v>
      </c>
      <c r="K400" s="422"/>
    </row>
    <row r="401" spans="1:11" hidden="1" x14ac:dyDescent="0.25">
      <c r="A401" s="439"/>
      <c r="B401" s="427" t="s">
        <v>538</v>
      </c>
      <c r="C401" s="427" t="s">
        <v>362</v>
      </c>
      <c r="D401" s="426"/>
      <c r="E401" s="428" t="s">
        <v>363</v>
      </c>
      <c r="F401" s="429">
        <v>0</v>
      </c>
      <c r="G401" s="429">
        <v>0</v>
      </c>
      <c r="H401" s="429">
        <f>[2]Nov!I439</f>
        <v>0</v>
      </c>
      <c r="I401" s="429">
        <f t="shared" ref="I401:I404" si="165">G401+H401</f>
        <v>0</v>
      </c>
      <c r="J401" s="429">
        <f t="shared" ref="J401:J404" si="166">F401-I401</f>
        <v>0</v>
      </c>
      <c r="K401" s="426"/>
    </row>
    <row r="402" spans="1:11" hidden="1" x14ac:dyDescent="0.25">
      <c r="A402" s="439"/>
      <c r="B402" s="427" t="s">
        <v>538</v>
      </c>
      <c r="C402" s="427" t="s">
        <v>366</v>
      </c>
      <c r="D402" s="426"/>
      <c r="E402" s="428" t="s">
        <v>367</v>
      </c>
      <c r="F402" s="429">
        <v>0</v>
      </c>
      <c r="G402" s="429">
        <v>0</v>
      </c>
      <c r="H402" s="429">
        <f>[2]Nov!I440</f>
        <v>0</v>
      </c>
      <c r="I402" s="429">
        <f t="shared" si="165"/>
        <v>0</v>
      </c>
      <c r="J402" s="429">
        <f t="shared" si="166"/>
        <v>0</v>
      </c>
      <c r="K402" s="426"/>
    </row>
    <row r="403" spans="1:11" hidden="1" x14ac:dyDescent="0.25">
      <c r="A403" s="439"/>
      <c r="B403" s="427" t="s">
        <v>538</v>
      </c>
      <c r="C403" s="427" t="s">
        <v>368</v>
      </c>
      <c r="D403" s="426"/>
      <c r="E403" s="428" t="s">
        <v>369</v>
      </c>
      <c r="F403" s="429">
        <v>0</v>
      </c>
      <c r="G403" s="429">
        <v>0</v>
      </c>
      <c r="H403" s="429">
        <f>[2]Nov!I441</f>
        <v>0</v>
      </c>
      <c r="I403" s="429">
        <f t="shared" si="165"/>
        <v>0</v>
      </c>
      <c r="J403" s="429">
        <f t="shared" si="166"/>
        <v>0</v>
      </c>
      <c r="K403" s="426"/>
    </row>
    <row r="404" spans="1:11" hidden="1" x14ac:dyDescent="0.25">
      <c r="A404" s="439"/>
      <c r="B404" s="427" t="s">
        <v>538</v>
      </c>
      <c r="C404" s="427" t="s">
        <v>487</v>
      </c>
      <c r="D404" s="426"/>
      <c r="E404" s="428" t="s">
        <v>488</v>
      </c>
      <c r="F404" s="429">
        <v>0</v>
      </c>
      <c r="G404" s="429">
        <v>0</v>
      </c>
      <c r="H404" s="429">
        <f>[2]Nov!I442</f>
        <v>0</v>
      </c>
      <c r="I404" s="429">
        <f t="shared" si="165"/>
        <v>0</v>
      </c>
      <c r="J404" s="429">
        <f t="shared" si="166"/>
        <v>0</v>
      </c>
      <c r="K404" s="426"/>
    </row>
    <row r="405" spans="1:11" hidden="1" x14ac:dyDescent="0.25">
      <c r="A405" s="438"/>
      <c r="B405" s="419" t="s">
        <v>538</v>
      </c>
      <c r="C405" s="419" t="s">
        <v>404</v>
      </c>
      <c r="D405" s="418"/>
      <c r="E405" s="420" t="s">
        <v>68</v>
      </c>
      <c r="F405" s="421">
        <f>F406</f>
        <v>0</v>
      </c>
      <c r="G405" s="421">
        <f>G406</f>
        <v>0</v>
      </c>
      <c r="H405" s="421">
        <f>H406</f>
        <v>0</v>
      </c>
      <c r="I405" s="421">
        <f>I406</f>
        <v>0</v>
      </c>
      <c r="J405" s="421">
        <f>J406</f>
        <v>0</v>
      </c>
      <c r="K405" s="418"/>
    </row>
    <row r="406" spans="1:11" hidden="1" x14ac:dyDescent="0.25">
      <c r="A406" s="440"/>
      <c r="B406" s="423" t="s">
        <v>538</v>
      </c>
      <c r="C406" s="423" t="s">
        <v>526</v>
      </c>
      <c r="D406" s="422"/>
      <c r="E406" s="424" t="s">
        <v>527</v>
      </c>
      <c r="F406" s="425">
        <f>SUM(F407:F408)</f>
        <v>0</v>
      </c>
      <c r="G406" s="425">
        <f>SUM(G407:G408)</f>
        <v>0</v>
      </c>
      <c r="H406" s="425">
        <f>SUM(H407:H408)</f>
        <v>0</v>
      </c>
      <c r="I406" s="425">
        <f>SUM(I407:I408)</f>
        <v>0</v>
      </c>
      <c r="J406" s="425">
        <f>SUM(J407:J408)</f>
        <v>0</v>
      </c>
      <c r="K406" s="422"/>
    </row>
    <row r="407" spans="1:11" hidden="1" x14ac:dyDescent="0.25">
      <c r="A407" s="439"/>
      <c r="B407" s="427" t="s">
        <v>538</v>
      </c>
      <c r="C407" s="427" t="s">
        <v>528</v>
      </c>
      <c r="D407" s="426"/>
      <c r="E407" s="428" t="s">
        <v>529</v>
      </c>
      <c r="F407" s="429">
        <v>0</v>
      </c>
      <c r="G407" s="429">
        <v>0</v>
      </c>
      <c r="H407" s="429">
        <f>[2]Nov!I445</f>
        <v>0</v>
      </c>
      <c r="I407" s="429">
        <f t="shared" ref="I407:I408" si="167">G407+H407</f>
        <v>0</v>
      </c>
      <c r="J407" s="429">
        <f t="shared" ref="J407:J408" si="168">F407-I407</f>
        <v>0</v>
      </c>
      <c r="K407" s="426"/>
    </row>
    <row r="408" spans="1:11" hidden="1" x14ac:dyDescent="0.25">
      <c r="A408" s="450"/>
      <c r="B408" s="451" t="s">
        <v>538</v>
      </c>
      <c r="C408" s="451" t="s">
        <v>532</v>
      </c>
      <c r="D408" s="452"/>
      <c r="E408" s="453" t="s">
        <v>533</v>
      </c>
      <c r="F408" s="454">
        <v>0</v>
      </c>
      <c r="G408" s="454">
        <v>0</v>
      </c>
      <c r="H408" s="429">
        <f>[2]Nov!I446</f>
        <v>0</v>
      </c>
      <c r="I408" s="454">
        <f t="shared" si="167"/>
        <v>0</v>
      </c>
      <c r="J408" s="454">
        <f t="shared" si="168"/>
        <v>0</v>
      </c>
      <c r="K408" s="452"/>
    </row>
    <row r="409" spans="1:11" hidden="1" x14ac:dyDescent="0.25">
      <c r="A409" s="439"/>
      <c r="B409" s="427"/>
      <c r="C409" s="427"/>
      <c r="D409" s="426"/>
      <c r="E409" s="428"/>
      <c r="F409" s="429"/>
      <c r="G409" s="429"/>
      <c r="H409" s="429"/>
      <c r="I409" s="429"/>
      <c r="J409" s="429"/>
      <c r="K409" s="426"/>
    </row>
    <row r="410" spans="1:11" ht="25.5" x14ac:dyDescent="0.25">
      <c r="A410" s="455"/>
      <c r="B410" s="460" t="s">
        <v>540</v>
      </c>
      <c r="C410" s="455"/>
      <c r="D410" s="457"/>
      <c r="E410" s="461" t="s">
        <v>541</v>
      </c>
      <c r="F410" s="462">
        <f>F411+F415</f>
        <v>25725000</v>
      </c>
      <c r="G410" s="462">
        <f>G411+G415</f>
        <v>0</v>
      </c>
      <c r="H410" s="462">
        <f>H411+H415</f>
        <v>0</v>
      </c>
      <c r="I410" s="462">
        <f>I411+I415</f>
        <v>0</v>
      </c>
      <c r="J410" s="462">
        <f>J411+J415</f>
        <v>25725000</v>
      </c>
      <c r="K410" s="457"/>
    </row>
    <row r="411" spans="1:11" hidden="1" x14ac:dyDescent="0.25">
      <c r="A411" s="438"/>
      <c r="B411" s="419" t="s">
        <v>540</v>
      </c>
      <c r="C411" s="419" t="s">
        <v>359</v>
      </c>
      <c r="D411" s="418"/>
      <c r="E411" s="420" t="s">
        <v>67</v>
      </c>
      <c r="F411" s="421">
        <f>F412</f>
        <v>244000</v>
      </c>
      <c r="G411" s="421">
        <f>G412</f>
        <v>0</v>
      </c>
      <c r="H411" s="421">
        <f>H412</f>
        <v>0</v>
      </c>
      <c r="I411" s="421">
        <f>I412</f>
        <v>0</v>
      </c>
      <c r="J411" s="421">
        <f>J412</f>
        <v>244000</v>
      </c>
      <c r="K411" s="418"/>
    </row>
    <row r="412" spans="1:11" hidden="1" x14ac:dyDescent="0.25">
      <c r="A412" s="440"/>
      <c r="B412" s="423" t="s">
        <v>540</v>
      </c>
      <c r="C412" s="423" t="s">
        <v>360</v>
      </c>
      <c r="D412" s="422"/>
      <c r="E412" s="424" t="s">
        <v>361</v>
      </c>
      <c r="F412" s="425">
        <f>SUM(F413:F414)</f>
        <v>244000</v>
      </c>
      <c r="G412" s="425">
        <f>SUM(G413:G414)</f>
        <v>0</v>
      </c>
      <c r="H412" s="425">
        <f>SUM(H413:H414)</f>
        <v>0</v>
      </c>
      <c r="I412" s="425">
        <f>SUM(I413:I414)</f>
        <v>0</v>
      </c>
      <c r="J412" s="425">
        <f>SUM(J413:J414)</f>
        <v>244000</v>
      </c>
      <c r="K412" s="422"/>
    </row>
    <row r="413" spans="1:11" hidden="1" x14ac:dyDescent="0.25">
      <c r="A413" s="439"/>
      <c r="B413" s="427" t="s">
        <v>540</v>
      </c>
      <c r="C413" s="427" t="s">
        <v>366</v>
      </c>
      <c r="D413" s="426"/>
      <c r="E413" s="428" t="s">
        <v>367</v>
      </c>
      <c r="F413" s="429">
        <v>69000</v>
      </c>
      <c r="G413" s="429">
        <v>0</v>
      </c>
      <c r="H413" s="429">
        <f>[2]Nov!I451</f>
        <v>0</v>
      </c>
      <c r="I413" s="429">
        <f t="shared" ref="I413:I414" si="169">G413+H413</f>
        <v>0</v>
      </c>
      <c r="J413" s="429">
        <f t="shared" ref="J413:J414" si="170">F413-I413</f>
        <v>69000</v>
      </c>
      <c r="K413" s="426"/>
    </row>
    <row r="414" spans="1:11" hidden="1" x14ac:dyDescent="0.25">
      <c r="A414" s="439"/>
      <c r="B414" s="427" t="s">
        <v>540</v>
      </c>
      <c r="C414" s="427" t="s">
        <v>487</v>
      </c>
      <c r="D414" s="426"/>
      <c r="E414" s="428" t="s">
        <v>488</v>
      </c>
      <c r="F414" s="429">
        <v>175000</v>
      </c>
      <c r="G414" s="429">
        <v>0</v>
      </c>
      <c r="H414" s="429">
        <f>[2]Nov!I452</f>
        <v>0</v>
      </c>
      <c r="I414" s="429">
        <f t="shared" si="169"/>
        <v>0</v>
      </c>
      <c r="J414" s="429">
        <f t="shared" si="170"/>
        <v>175000</v>
      </c>
      <c r="K414" s="426"/>
    </row>
    <row r="415" spans="1:11" hidden="1" x14ac:dyDescent="0.25">
      <c r="A415" s="438"/>
      <c r="B415" s="419" t="s">
        <v>540</v>
      </c>
      <c r="C415" s="419" t="s">
        <v>404</v>
      </c>
      <c r="D415" s="418"/>
      <c r="E415" s="420" t="s">
        <v>68</v>
      </c>
      <c r="F415" s="421">
        <f>F416</f>
        <v>25481000</v>
      </c>
      <c r="G415" s="421">
        <f>G416</f>
        <v>0</v>
      </c>
      <c r="H415" s="421">
        <f>H416</f>
        <v>0</v>
      </c>
      <c r="I415" s="421">
        <f>I416</f>
        <v>0</v>
      </c>
      <c r="J415" s="421">
        <f>J416</f>
        <v>25481000</v>
      </c>
      <c r="K415" s="418"/>
    </row>
    <row r="416" spans="1:11" hidden="1" x14ac:dyDescent="0.25">
      <c r="A416" s="440"/>
      <c r="B416" s="423" t="s">
        <v>540</v>
      </c>
      <c r="C416" s="423" t="s">
        <v>489</v>
      </c>
      <c r="D416" s="422"/>
      <c r="E416" s="424" t="s">
        <v>490</v>
      </c>
      <c r="F416" s="425">
        <f>SUM(F417:F418)</f>
        <v>25481000</v>
      </c>
      <c r="G416" s="425">
        <f>SUM(G417:G418)</f>
        <v>0</v>
      </c>
      <c r="H416" s="425">
        <f>SUM(H417:H418)</f>
        <v>0</v>
      </c>
      <c r="I416" s="425">
        <f>SUM(I417:I418)</f>
        <v>0</v>
      </c>
      <c r="J416" s="425">
        <f>SUM(J417:J418)</f>
        <v>25481000</v>
      </c>
      <c r="K416" s="422"/>
    </row>
    <row r="417" spans="1:11" hidden="1" x14ac:dyDescent="0.25">
      <c r="A417" s="439"/>
      <c r="B417" s="427" t="s">
        <v>540</v>
      </c>
      <c r="C417" s="427" t="s">
        <v>491</v>
      </c>
      <c r="D417" s="426"/>
      <c r="E417" s="428" t="s">
        <v>492</v>
      </c>
      <c r="F417" s="429">
        <v>550000</v>
      </c>
      <c r="G417" s="429">
        <v>0</v>
      </c>
      <c r="H417" s="429">
        <f>[2]Nov!I455</f>
        <v>0</v>
      </c>
      <c r="I417" s="429">
        <f t="shared" ref="I417:I418" si="171">G417+H417</f>
        <v>0</v>
      </c>
      <c r="J417" s="429">
        <f t="shared" ref="J417:J418" si="172">F417-I417</f>
        <v>550000</v>
      </c>
      <c r="K417" s="426"/>
    </row>
    <row r="418" spans="1:11" hidden="1" x14ac:dyDescent="0.25">
      <c r="A418" s="450"/>
      <c r="B418" s="451" t="s">
        <v>540</v>
      </c>
      <c r="C418" s="451" t="s">
        <v>495</v>
      </c>
      <c r="D418" s="452"/>
      <c r="E418" s="453" t="s">
        <v>496</v>
      </c>
      <c r="F418" s="454">
        <v>24931000</v>
      </c>
      <c r="G418" s="454">
        <v>0</v>
      </c>
      <c r="H418" s="429">
        <f>[2]Nov!I456</f>
        <v>0</v>
      </c>
      <c r="I418" s="454">
        <f t="shared" si="171"/>
        <v>0</v>
      </c>
      <c r="J418" s="454">
        <f t="shared" si="172"/>
        <v>24931000</v>
      </c>
      <c r="K418" s="452"/>
    </row>
    <row r="419" spans="1:11" hidden="1" x14ac:dyDescent="0.25">
      <c r="A419" s="450"/>
      <c r="B419" s="451"/>
      <c r="C419" s="451"/>
      <c r="D419" s="452"/>
      <c r="E419" s="453"/>
      <c r="F419" s="454"/>
      <c r="G419" s="454"/>
      <c r="H419" s="429"/>
      <c r="I419" s="454"/>
      <c r="J419" s="454"/>
      <c r="K419" s="452"/>
    </row>
    <row r="420" spans="1:11" x14ac:dyDescent="0.25">
      <c r="A420" s="438"/>
      <c r="B420" s="419" t="s">
        <v>542</v>
      </c>
      <c r="C420" s="438"/>
      <c r="D420" s="418"/>
      <c r="E420" s="420" t="s">
        <v>543</v>
      </c>
      <c r="F420" s="421">
        <f>F421+F426</f>
        <v>31226000</v>
      </c>
      <c r="G420" s="421">
        <f>G421+G426</f>
        <v>18494130</v>
      </c>
      <c r="H420" s="421">
        <f>H421+H426</f>
        <v>9936000</v>
      </c>
      <c r="I420" s="421">
        <f>I421+I426</f>
        <v>28430130</v>
      </c>
      <c r="J420" s="421">
        <f>J421+J426</f>
        <v>2795870</v>
      </c>
      <c r="K420" s="418"/>
    </row>
    <row r="421" spans="1:11" hidden="1" x14ac:dyDescent="0.25">
      <c r="A421" s="438"/>
      <c r="B421" s="419" t="s">
        <v>542</v>
      </c>
      <c r="C421" s="419" t="s">
        <v>359</v>
      </c>
      <c r="D421" s="418"/>
      <c r="E421" s="420" t="s">
        <v>67</v>
      </c>
      <c r="F421" s="421">
        <f>F422</f>
        <v>240000</v>
      </c>
      <c r="G421" s="421">
        <f>G422</f>
        <v>0</v>
      </c>
      <c r="H421" s="421">
        <f>H422</f>
        <v>240000</v>
      </c>
      <c r="I421" s="421">
        <f>I422</f>
        <v>240000</v>
      </c>
      <c r="J421" s="421">
        <f>J422</f>
        <v>0</v>
      </c>
      <c r="K421" s="418"/>
    </row>
    <row r="422" spans="1:11" hidden="1" x14ac:dyDescent="0.25">
      <c r="A422" s="440"/>
      <c r="B422" s="423" t="s">
        <v>542</v>
      </c>
      <c r="C422" s="423" t="s">
        <v>360</v>
      </c>
      <c r="D422" s="422"/>
      <c r="E422" s="424" t="s">
        <v>361</v>
      </c>
      <c r="F422" s="425">
        <f>SUM(F423:F425)</f>
        <v>240000</v>
      </c>
      <c r="G422" s="425">
        <f>SUM(G423:G425)</f>
        <v>0</v>
      </c>
      <c r="H422" s="425">
        <f>SUM(H423:H425)</f>
        <v>240000</v>
      </c>
      <c r="I422" s="425">
        <f>SUM(I423:I425)</f>
        <v>240000</v>
      </c>
      <c r="J422" s="425">
        <f>SUM(J423:J425)</f>
        <v>0</v>
      </c>
      <c r="K422" s="422"/>
    </row>
    <row r="423" spans="1:11" hidden="1" x14ac:dyDescent="0.25">
      <c r="A423" s="439"/>
      <c r="B423" s="427" t="s">
        <v>542</v>
      </c>
      <c r="C423" s="427" t="s">
        <v>362</v>
      </c>
      <c r="D423" s="426"/>
      <c r="E423" s="428" t="s">
        <v>363</v>
      </c>
      <c r="F423" s="429">
        <v>30000</v>
      </c>
      <c r="G423" s="429">
        <v>0</v>
      </c>
      <c r="H423" s="429">
        <f>[2]Nov!I464</f>
        <v>30000</v>
      </c>
      <c r="I423" s="429">
        <f t="shared" ref="I423:I425" si="173">G423+H423</f>
        <v>30000</v>
      </c>
      <c r="J423" s="429">
        <f t="shared" ref="J423:J425" si="174">F423-I423</f>
        <v>0</v>
      </c>
      <c r="K423" s="426"/>
    </row>
    <row r="424" spans="1:11" hidden="1" x14ac:dyDescent="0.25">
      <c r="A424" s="439"/>
      <c r="B424" s="427" t="s">
        <v>542</v>
      </c>
      <c r="C424" s="427" t="s">
        <v>366</v>
      </c>
      <c r="D424" s="426"/>
      <c r="E424" s="428" t="s">
        <v>367</v>
      </c>
      <c r="F424" s="429">
        <v>30000</v>
      </c>
      <c r="G424" s="429">
        <v>0</v>
      </c>
      <c r="H424" s="429">
        <f>[2]Nov!I465</f>
        <v>30000</v>
      </c>
      <c r="I424" s="429">
        <f t="shared" si="173"/>
        <v>30000</v>
      </c>
      <c r="J424" s="429">
        <f t="shared" si="174"/>
        <v>0</v>
      </c>
      <c r="K424" s="426"/>
    </row>
    <row r="425" spans="1:11" hidden="1" x14ac:dyDescent="0.25">
      <c r="A425" s="439"/>
      <c r="B425" s="427" t="s">
        <v>542</v>
      </c>
      <c r="C425" s="427" t="s">
        <v>368</v>
      </c>
      <c r="D425" s="426"/>
      <c r="E425" s="428" t="s">
        <v>369</v>
      </c>
      <c r="F425" s="429">
        <v>180000</v>
      </c>
      <c r="G425" s="429">
        <v>0</v>
      </c>
      <c r="H425" s="429">
        <f>[2]Nov!I466</f>
        <v>180000</v>
      </c>
      <c r="I425" s="429">
        <f t="shared" si="173"/>
        <v>180000</v>
      </c>
      <c r="J425" s="429">
        <f t="shared" si="174"/>
        <v>0</v>
      </c>
      <c r="K425" s="426"/>
    </row>
    <row r="426" spans="1:11" hidden="1" x14ac:dyDescent="0.25">
      <c r="A426" s="438"/>
      <c r="B426" s="419" t="s">
        <v>542</v>
      </c>
      <c r="C426" s="419" t="s">
        <v>404</v>
      </c>
      <c r="D426" s="418"/>
      <c r="E426" s="420" t="s">
        <v>68</v>
      </c>
      <c r="F426" s="421">
        <f>F427</f>
        <v>30986000</v>
      </c>
      <c r="G426" s="421">
        <f>G427</f>
        <v>18494130</v>
      </c>
      <c r="H426" s="421">
        <f>H427</f>
        <v>9696000</v>
      </c>
      <c r="I426" s="421">
        <f>I427</f>
        <v>28190130</v>
      </c>
      <c r="J426" s="421">
        <f>J427</f>
        <v>2795870</v>
      </c>
      <c r="K426" s="418"/>
    </row>
    <row r="427" spans="1:11" hidden="1" x14ac:dyDescent="0.25">
      <c r="A427" s="440"/>
      <c r="B427" s="423" t="s">
        <v>542</v>
      </c>
      <c r="C427" s="423" t="s">
        <v>526</v>
      </c>
      <c r="D427" s="422"/>
      <c r="E427" s="424" t="s">
        <v>527</v>
      </c>
      <c r="F427" s="425">
        <f>SUM(F428:F430)</f>
        <v>30986000</v>
      </c>
      <c r="G427" s="425">
        <f>SUM(G428:G430)</f>
        <v>18494130</v>
      </c>
      <c r="H427" s="425">
        <f>SUM(H428:H430)</f>
        <v>9696000</v>
      </c>
      <c r="I427" s="425">
        <f>SUM(I428:I430)</f>
        <v>28190130</v>
      </c>
      <c r="J427" s="425">
        <f>SUM(J428:J430)</f>
        <v>2795870</v>
      </c>
      <c r="K427" s="422"/>
    </row>
    <row r="428" spans="1:11" hidden="1" x14ac:dyDescent="0.25">
      <c r="A428" s="439"/>
      <c r="B428" s="427" t="s">
        <v>542</v>
      </c>
      <c r="C428" s="427" t="s">
        <v>528</v>
      </c>
      <c r="D428" s="426"/>
      <c r="E428" s="428" t="s">
        <v>529</v>
      </c>
      <c r="F428" s="429">
        <v>550000</v>
      </c>
      <c r="G428" s="429">
        <v>550000</v>
      </c>
      <c r="H428" s="429">
        <f>[2]Nov!I469</f>
        <v>0</v>
      </c>
      <c r="I428" s="429">
        <f t="shared" ref="I428:I430" si="175">G428+H428</f>
        <v>550000</v>
      </c>
      <c r="J428" s="429">
        <f t="shared" ref="J428:J430" si="176">F428-I428</f>
        <v>0</v>
      </c>
      <c r="K428" s="426"/>
    </row>
    <row r="429" spans="1:11" hidden="1" x14ac:dyDescent="0.25">
      <c r="A429" s="439"/>
      <c r="B429" s="427" t="s">
        <v>542</v>
      </c>
      <c r="C429" s="427" t="s">
        <v>530</v>
      </c>
      <c r="D429" s="426"/>
      <c r="E429" s="428" t="s">
        <v>531</v>
      </c>
      <c r="F429" s="429">
        <v>9696000</v>
      </c>
      <c r="G429" s="429">
        <v>0</v>
      </c>
      <c r="H429" s="429">
        <f>[2]Nov!I470</f>
        <v>9696000</v>
      </c>
      <c r="I429" s="429">
        <f t="shared" si="175"/>
        <v>9696000</v>
      </c>
      <c r="J429" s="429">
        <f t="shared" si="176"/>
        <v>0</v>
      </c>
      <c r="K429" s="426"/>
    </row>
    <row r="430" spans="1:11" hidden="1" x14ac:dyDescent="0.25">
      <c r="A430" s="439"/>
      <c r="B430" s="427" t="s">
        <v>542</v>
      </c>
      <c r="C430" s="427" t="s">
        <v>532</v>
      </c>
      <c r="D430" s="426"/>
      <c r="E430" s="428" t="s">
        <v>533</v>
      </c>
      <c r="F430" s="429">
        <v>20740000</v>
      </c>
      <c r="G430" s="429">
        <f>17224130+150000+45000+350000+175000</f>
        <v>17944130</v>
      </c>
      <c r="H430" s="429">
        <f>[2]Nov!I471</f>
        <v>0</v>
      </c>
      <c r="I430" s="429">
        <f t="shared" si="175"/>
        <v>17944130</v>
      </c>
      <c r="J430" s="429">
        <f t="shared" si="176"/>
        <v>2795870</v>
      </c>
      <c r="K430" s="426"/>
    </row>
    <row r="431" spans="1:11" hidden="1" x14ac:dyDescent="0.25">
      <c r="A431" s="439"/>
      <c r="B431" s="427"/>
      <c r="C431" s="427"/>
      <c r="D431" s="426"/>
      <c r="E431" s="428"/>
      <c r="F431" s="429"/>
      <c r="G431" s="429"/>
      <c r="H431" s="429"/>
      <c r="I431" s="429"/>
      <c r="J431" s="429"/>
      <c r="K431" s="426"/>
    </row>
    <row r="432" spans="1:11" x14ac:dyDescent="0.25">
      <c r="A432" s="438"/>
      <c r="B432" s="419" t="s">
        <v>544</v>
      </c>
      <c r="C432" s="438"/>
      <c r="D432" s="420" t="s">
        <v>545</v>
      </c>
      <c r="E432" s="418"/>
      <c r="F432" s="421">
        <f>F433+F444</f>
        <v>118805000</v>
      </c>
      <c r="G432" s="421">
        <f>G433+G444</f>
        <v>102662070</v>
      </c>
      <c r="H432" s="421">
        <f>H433+H444</f>
        <v>0</v>
      </c>
      <c r="I432" s="421">
        <f>I433+I444</f>
        <v>102662070</v>
      </c>
      <c r="J432" s="421">
        <f>J433+J444</f>
        <v>16142930</v>
      </c>
      <c r="K432" s="418"/>
    </row>
    <row r="433" spans="1:11" ht="38.25" x14ac:dyDescent="0.25">
      <c r="A433" s="438"/>
      <c r="B433" s="449" t="s">
        <v>546</v>
      </c>
      <c r="C433" s="438"/>
      <c r="D433" s="418"/>
      <c r="E433" s="484" t="s">
        <v>547</v>
      </c>
      <c r="F433" s="443">
        <f>F434</f>
        <v>118805000</v>
      </c>
      <c r="G433" s="443">
        <f>G434</f>
        <v>102662070</v>
      </c>
      <c r="H433" s="443">
        <f>H434</f>
        <v>0</v>
      </c>
      <c r="I433" s="443">
        <f>I434</f>
        <v>102662070</v>
      </c>
      <c r="J433" s="443">
        <f>J434</f>
        <v>16142930</v>
      </c>
      <c r="K433" s="418"/>
    </row>
    <row r="434" spans="1:11" hidden="1" x14ac:dyDescent="0.25">
      <c r="A434" s="438"/>
      <c r="B434" s="419" t="s">
        <v>546</v>
      </c>
      <c r="C434" s="419" t="s">
        <v>359</v>
      </c>
      <c r="D434" s="418"/>
      <c r="E434" s="420" t="s">
        <v>67</v>
      </c>
      <c r="F434" s="421">
        <f>F435+F439+F441</f>
        <v>118805000</v>
      </c>
      <c r="G434" s="421">
        <f>G435+G439+G441</f>
        <v>102662070</v>
      </c>
      <c r="H434" s="421">
        <f>H435+H439+H441</f>
        <v>0</v>
      </c>
      <c r="I434" s="421">
        <f>I435+I439+I441</f>
        <v>102662070</v>
      </c>
      <c r="J434" s="421">
        <f>J435+J439+J441</f>
        <v>16142930</v>
      </c>
      <c r="K434" s="418"/>
    </row>
    <row r="435" spans="1:11" hidden="1" x14ac:dyDescent="0.25">
      <c r="A435" s="440"/>
      <c r="B435" s="423" t="s">
        <v>546</v>
      </c>
      <c r="C435" s="423" t="s">
        <v>360</v>
      </c>
      <c r="D435" s="422"/>
      <c r="E435" s="424" t="s">
        <v>361</v>
      </c>
      <c r="F435" s="425">
        <f>SUM(F436:F438)</f>
        <v>330000</v>
      </c>
      <c r="G435" s="425">
        <f>SUM(G436:G438)</f>
        <v>330000</v>
      </c>
      <c r="H435" s="425">
        <f>SUM(H436:H438)</f>
        <v>0</v>
      </c>
      <c r="I435" s="425">
        <f>SUM(I436:I438)</f>
        <v>330000</v>
      </c>
      <c r="J435" s="425">
        <f>SUM(J436:J438)</f>
        <v>0</v>
      </c>
      <c r="K435" s="422"/>
    </row>
    <row r="436" spans="1:11" hidden="1" x14ac:dyDescent="0.25">
      <c r="A436" s="439"/>
      <c r="B436" s="427" t="s">
        <v>546</v>
      </c>
      <c r="C436" s="427" t="s">
        <v>362</v>
      </c>
      <c r="D436" s="426"/>
      <c r="E436" s="428" t="s">
        <v>363</v>
      </c>
      <c r="F436" s="429">
        <v>55000</v>
      </c>
      <c r="G436" s="429">
        <v>55000</v>
      </c>
      <c r="H436" s="429">
        <f>[2]Nov!I477</f>
        <v>0</v>
      </c>
      <c r="I436" s="429">
        <f t="shared" ref="I436:I438" si="177">G436+H436</f>
        <v>55000</v>
      </c>
      <c r="J436" s="429">
        <f t="shared" ref="J436:J438" si="178">F436-I436</f>
        <v>0</v>
      </c>
      <c r="K436" s="426"/>
    </row>
    <row r="437" spans="1:11" hidden="1" x14ac:dyDescent="0.25">
      <c r="A437" s="439"/>
      <c r="B437" s="427" t="s">
        <v>546</v>
      </c>
      <c r="C437" s="427" t="s">
        <v>366</v>
      </c>
      <c r="D437" s="426"/>
      <c r="E437" s="428" t="s">
        <v>367</v>
      </c>
      <c r="F437" s="429">
        <v>95000</v>
      </c>
      <c r="G437" s="429">
        <v>95000</v>
      </c>
      <c r="H437" s="429">
        <f>[2]Nov!I478</f>
        <v>0</v>
      </c>
      <c r="I437" s="429">
        <f t="shared" si="177"/>
        <v>95000</v>
      </c>
      <c r="J437" s="429">
        <f t="shared" si="178"/>
        <v>0</v>
      </c>
      <c r="K437" s="426"/>
    </row>
    <row r="438" spans="1:11" hidden="1" x14ac:dyDescent="0.25">
      <c r="A438" s="439"/>
      <c r="B438" s="427" t="s">
        <v>546</v>
      </c>
      <c r="C438" s="427" t="s">
        <v>368</v>
      </c>
      <c r="D438" s="426"/>
      <c r="E438" s="428" t="s">
        <v>369</v>
      </c>
      <c r="F438" s="429">
        <v>180000</v>
      </c>
      <c r="G438" s="429">
        <v>180000</v>
      </c>
      <c r="H438" s="429">
        <f>[2]Nov!I479</f>
        <v>0</v>
      </c>
      <c r="I438" s="429">
        <f t="shared" si="177"/>
        <v>180000</v>
      </c>
      <c r="J438" s="429">
        <f t="shared" si="178"/>
        <v>0</v>
      </c>
      <c r="K438" s="426"/>
    </row>
    <row r="439" spans="1:11" hidden="1" x14ac:dyDescent="0.25">
      <c r="A439" s="440"/>
      <c r="B439" s="423" t="s">
        <v>546</v>
      </c>
      <c r="C439" s="423" t="s">
        <v>370</v>
      </c>
      <c r="D439" s="422"/>
      <c r="E439" s="424" t="s">
        <v>81</v>
      </c>
      <c r="F439" s="425">
        <f>SUM(F440)</f>
        <v>1375000</v>
      </c>
      <c r="G439" s="425">
        <f>SUM(G440)</f>
        <v>1375000</v>
      </c>
      <c r="H439" s="425">
        <f>SUM(H440)</f>
        <v>0</v>
      </c>
      <c r="I439" s="425">
        <f>SUM(I440)</f>
        <v>1375000</v>
      </c>
      <c r="J439" s="425">
        <f>SUM(J440)</f>
        <v>0</v>
      </c>
      <c r="K439" s="422"/>
    </row>
    <row r="440" spans="1:11" hidden="1" x14ac:dyDescent="0.25">
      <c r="A440" s="439"/>
      <c r="B440" s="427" t="s">
        <v>546</v>
      </c>
      <c r="C440" s="427" t="s">
        <v>436</v>
      </c>
      <c r="D440" s="426"/>
      <c r="E440" s="428" t="s">
        <v>437</v>
      </c>
      <c r="F440" s="429">
        <v>1375000</v>
      </c>
      <c r="G440" s="429">
        <v>1375000</v>
      </c>
      <c r="H440" s="429">
        <f>[2]Nov!I481</f>
        <v>0</v>
      </c>
      <c r="I440" s="429">
        <f t="shared" ref="I440" si="179">G440+H440</f>
        <v>1375000</v>
      </c>
      <c r="J440" s="429">
        <f t="shared" ref="J440" si="180">F440-I440</f>
        <v>0</v>
      </c>
      <c r="K440" s="426"/>
    </row>
    <row r="441" spans="1:11" hidden="1" x14ac:dyDescent="0.25">
      <c r="A441" s="440"/>
      <c r="B441" s="423" t="s">
        <v>546</v>
      </c>
      <c r="C441" s="423" t="s">
        <v>460</v>
      </c>
      <c r="D441" s="422"/>
      <c r="E441" s="424" t="s">
        <v>461</v>
      </c>
      <c r="F441" s="425">
        <f>SUM(F442)</f>
        <v>117100000</v>
      </c>
      <c r="G441" s="425">
        <f>SUM(G442)</f>
        <v>100957070</v>
      </c>
      <c r="H441" s="425">
        <f>SUM(H442)</f>
        <v>0</v>
      </c>
      <c r="I441" s="425">
        <f>SUM(I442)</f>
        <v>100957070</v>
      </c>
      <c r="J441" s="425">
        <f>SUM(J442)</f>
        <v>16142930</v>
      </c>
      <c r="K441" s="422"/>
    </row>
    <row r="442" spans="1:11" hidden="1" x14ac:dyDescent="0.25">
      <c r="A442" s="450"/>
      <c r="B442" s="451" t="s">
        <v>546</v>
      </c>
      <c r="C442" s="451" t="s">
        <v>462</v>
      </c>
      <c r="D442" s="452"/>
      <c r="E442" s="453" t="s">
        <v>463</v>
      </c>
      <c r="F442" s="454">
        <v>117100000</v>
      </c>
      <c r="G442" s="429">
        <f>99257070+1700000</f>
        <v>100957070</v>
      </c>
      <c r="H442" s="429">
        <f>[2]Nov!I483</f>
        <v>0</v>
      </c>
      <c r="I442" s="454">
        <f t="shared" ref="I442" si="181">G442+H442</f>
        <v>100957070</v>
      </c>
      <c r="J442" s="454">
        <f t="shared" ref="J442" si="182">F442-I442</f>
        <v>16142930</v>
      </c>
      <c r="K442" s="452"/>
    </row>
    <row r="443" spans="1:11" hidden="1" x14ac:dyDescent="0.25">
      <c r="A443" s="439"/>
      <c r="B443" s="427"/>
      <c r="C443" s="427"/>
      <c r="D443" s="426"/>
      <c r="E443" s="428"/>
      <c r="F443" s="429"/>
      <c r="G443" s="429"/>
      <c r="H443" s="429"/>
      <c r="I443" s="429"/>
      <c r="J443" s="429"/>
      <c r="K443" s="426"/>
    </row>
    <row r="444" spans="1:11" hidden="1" x14ac:dyDescent="0.25">
      <c r="A444" s="455"/>
      <c r="B444" s="456" t="s">
        <v>548</v>
      </c>
      <c r="C444" s="455"/>
      <c r="D444" s="457"/>
      <c r="E444" s="458" t="s">
        <v>549</v>
      </c>
      <c r="F444" s="459">
        <f>F445</f>
        <v>0</v>
      </c>
      <c r="G444" s="459">
        <f>G445</f>
        <v>0</v>
      </c>
      <c r="H444" s="459">
        <f>H445</f>
        <v>0</v>
      </c>
      <c r="I444" s="459">
        <f>I445</f>
        <v>0</v>
      </c>
      <c r="J444" s="459">
        <f>J445</f>
        <v>0</v>
      </c>
      <c r="K444" s="457"/>
    </row>
    <row r="445" spans="1:11" hidden="1" x14ac:dyDescent="0.25">
      <c r="A445" s="438"/>
      <c r="B445" s="419" t="s">
        <v>548</v>
      </c>
      <c r="C445" s="419" t="s">
        <v>359</v>
      </c>
      <c r="D445" s="418"/>
      <c r="E445" s="420" t="s">
        <v>67</v>
      </c>
      <c r="F445" s="421">
        <f>F446+F450+F452</f>
        <v>0</v>
      </c>
      <c r="G445" s="421">
        <f>G446+G450+G452</f>
        <v>0</v>
      </c>
      <c r="H445" s="421">
        <f>H446+H450+H452</f>
        <v>0</v>
      </c>
      <c r="I445" s="421">
        <f>I446+I450+I452</f>
        <v>0</v>
      </c>
      <c r="J445" s="421">
        <f>J446+J450+J452</f>
        <v>0</v>
      </c>
      <c r="K445" s="418"/>
    </row>
    <row r="446" spans="1:11" hidden="1" x14ac:dyDescent="0.25">
      <c r="A446" s="440"/>
      <c r="B446" s="423" t="s">
        <v>548</v>
      </c>
      <c r="C446" s="423" t="s">
        <v>360</v>
      </c>
      <c r="D446" s="422"/>
      <c r="E446" s="424" t="s">
        <v>361</v>
      </c>
      <c r="F446" s="425">
        <f>SUM(F447:F449)</f>
        <v>0</v>
      </c>
      <c r="G446" s="425">
        <f>SUM(G447:G449)</f>
        <v>0</v>
      </c>
      <c r="H446" s="425">
        <f>SUM(H447:H449)</f>
        <v>0</v>
      </c>
      <c r="I446" s="425">
        <f>SUM(I447:I449)</f>
        <v>0</v>
      </c>
      <c r="J446" s="425">
        <f>SUM(J447:J449)</f>
        <v>0</v>
      </c>
      <c r="K446" s="422"/>
    </row>
    <row r="447" spans="1:11" hidden="1" x14ac:dyDescent="0.25">
      <c r="A447" s="439"/>
      <c r="B447" s="427" t="s">
        <v>548</v>
      </c>
      <c r="C447" s="427" t="s">
        <v>362</v>
      </c>
      <c r="D447" s="426"/>
      <c r="E447" s="428" t="s">
        <v>363</v>
      </c>
      <c r="F447" s="429">
        <v>0</v>
      </c>
      <c r="G447" s="429">
        <v>0</v>
      </c>
      <c r="H447" s="429">
        <f>[2]Nov!I488</f>
        <v>0</v>
      </c>
      <c r="I447" s="429">
        <f t="shared" ref="I447:I449" si="183">G447+H447</f>
        <v>0</v>
      </c>
      <c r="J447" s="429">
        <f t="shared" ref="J447:J449" si="184">F447-I447</f>
        <v>0</v>
      </c>
      <c r="K447" s="426"/>
    </row>
    <row r="448" spans="1:11" hidden="1" x14ac:dyDescent="0.25">
      <c r="A448" s="439"/>
      <c r="B448" s="427" t="s">
        <v>548</v>
      </c>
      <c r="C448" s="427" t="s">
        <v>366</v>
      </c>
      <c r="D448" s="426"/>
      <c r="E448" s="428" t="s">
        <v>367</v>
      </c>
      <c r="F448" s="429">
        <v>0</v>
      </c>
      <c r="G448" s="429">
        <v>0</v>
      </c>
      <c r="H448" s="429">
        <f>[2]Nov!I489</f>
        <v>0</v>
      </c>
      <c r="I448" s="429">
        <f t="shared" si="183"/>
        <v>0</v>
      </c>
      <c r="J448" s="429">
        <f t="shared" si="184"/>
        <v>0</v>
      </c>
      <c r="K448" s="426"/>
    </row>
    <row r="449" spans="1:11" hidden="1" x14ac:dyDescent="0.25">
      <c r="A449" s="439"/>
      <c r="B449" s="427" t="s">
        <v>548</v>
      </c>
      <c r="C449" s="427" t="s">
        <v>368</v>
      </c>
      <c r="D449" s="426"/>
      <c r="E449" s="428" t="s">
        <v>369</v>
      </c>
      <c r="F449" s="429">
        <v>0</v>
      </c>
      <c r="G449" s="429">
        <v>0</v>
      </c>
      <c r="H449" s="429">
        <f>[2]Nov!I490</f>
        <v>0</v>
      </c>
      <c r="I449" s="429">
        <f t="shared" si="183"/>
        <v>0</v>
      </c>
      <c r="J449" s="429">
        <f t="shared" si="184"/>
        <v>0</v>
      </c>
      <c r="K449" s="426"/>
    </row>
    <row r="450" spans="1:11" hidden="1" x14ac:dyDescent="0.25">
      <c r="A450" s="440"/>
      <c r="B450" s="423" t="s">
        <v>548</v>
      </c>
      <c r="C450" s="423" t="s">
        <v>370</v>
      </c>
      <c r="D450" s="422"/>
      <c r="E450" s="424" t="s">
        <v>81</v>
      </c>
      <c r="F450" s="425">
        <f>SUM(F451)</f>
        <v>0</v>
      </c>
      <c r="G450" s="425">
        <f>SUM(G451)</f>
        <v>0</v>
      </c>
      <c r="H450" s="425">
        <f>SUM(H451)</f>
        <v>0</v>
      </c>
      <c r="I450" s="425">
        <f>SUM(I451)</f>
        <v>0</v>
      </c>
      <c r="J450" s="425">
        <f>SUM(J451)</f>
        <v>0</v>
      </c>
      <c r="K450" s="422"/>
    </row>
    <row r="451" spans="1:11" hidden="1" x14ac:dyDescent="0.25">
      <c r="A451" s="439"/>
      <c r="B451" s="427" t="s">
        <v>548</v>
      </c>
      <c r="C451" s="427" t="s">
        <v>436</v>
      </c>
      <c r="D451" s="426"/>
      <c r="E451" s="428" t="s">
        <v>437</v>
      </c>
      <c r="F451" s="429">
        <v>0</v>
      </c>
      <c r="G451" s="429">
        <v>0</v>
      </c>
      <c r="H451" s="429">
        <f>[2]Nov!I492</f>
        <v>0</v>
      </c>
      <c r="I451" s="429">
        <f t="shared" ref="I451" si="185">G451+H451</f>
        <v>0</v>
      </c>
      <c r="J451" s="429">
        <f t="shared" ref="J451" si="186">F451-I451</f>
        <v>0</v>
      </c>
      <c r="K451" s="426"/>
    </row>
    <row r="452" spans="1:11" hidden="1" x14ac:dyDescent="0.25">
      <c r="A452" s="440"/>
      <c r="B452" s="423" t="s">
        <v>548</v>
      </c>
      <c r="C452" s="423" t="s">
        <v>460</v>
      </c>
      <c r="D452" s="422"/>
      <c r="E452" s="424" t="s">
        <v>461</v>
      </c>
      <c r="F452" s="425">
        <f>SUM(F453)</f>
        <v>0</v>
      </c>
      <c r="G452" s="425">
        <f>SUM(G453)</f>
        <v>0</v>
      </c>
      <c r="H452" s="425">
        <f>SUM(H453)</f>
        <v>0</v>
      </c>
      <c r="I452" s="425">
        <f>SUM(I453)</f>
        <v>0</v>
      </c>
      <c r="J452" s="425">
        <f>SUM(J453)</f>
        <v>0</v>
      </c>
      <c r="K452" s="422"/>
    </row>
    <row r="453" spans="1:11" hidden="1" x14ac:dyDescent="0.25">
      <c r="A453" s="439"/>
      <c r="B453" s="427" t="s">
        <v>548</v>
      </c>
      <c r="C453" s="427" t="s">
        <v>462</v>
      </c>
      <c r="D453" s="426"/>
      <c r="E453" s="428" t="s">
        <v>463</v>
      </c>
      <c r="F453" s="429">
        <v>0</v>
      </c>
      <c r="G453" s="429">
        <v>0</v>
      </c>
      <c r="H453" s="429">
        <f>[2]Nov!I494</f>
        <v>0</v>
      </c>
      <c r="I453" s="429">
        <f t="shared" ref="I453" si="187">G453+H453</f>
        <v>0</v>
      </c>
      <c r="J453" s="429">
        <f t="shared" ref="J453" si="188">F453-I453</f>
        <v>0</v>
      </c>
      <c r="K453" s="426"/>
    </row>
    <row r="454" spans="1:11" hidden="1" x14ac:dyDescent="0.25">
      <c r="A454" s="439"/>
      <c r="B454" s="427"/>
      <c r="C454" s="427"/>
      <c r="D454" s="426"/>
      <c r="E454" s="428"/>
      <c r="F454" s="429"/>
      <c r="G454" s="429"/>
      <c r="H454" s="429"/>
      <c r="I454" s="429"/>
      <c r="J454" s="429"/>
      <c r="K454" s="426"/>
    </row>
    <row r="455" spans="1:11" x14ac:dyDescent="0.25">
      <c r="A455" s="438"/>
      <c r="B455" s="419" t="s">
        <v>550</v>
      </c>
      <c r="C455" s="438"/>
      <c r="D455" s="420" t="s">
        <v>551</v>
      </c>
      <c r="E455" s="418"/>
      <c r="F455" s="421">
        <f t="shared" ref="F455:J457" si="189">F456</f>
        <v>2250000</v>
      </c>
      <c r="G455" s="421">
        <f t="shared" si="189"/>
        <v>324000</v>
      </c>
      <c r="H455" s="421">
        <f t="shared" si="189"/>
        <v>1500000</v>
      </c>
      <c r="I455" s="421">
        <f t="shared" si="189"/>
        <v>1824000</v>
      </c>
      <c r="J455" s="421">
        <f t="shared" si="189"/>
        <v>426000</v>
      </c>
      <c r="K455" s="418"/>
    </row>
    <row r="456" spans="1:11" x14ac:dyDescent="0.25">
      <c r="A456" s="438"/>
      <c r="B456" s="419" t="s">
        <v>552</v>
      </c>
      <c r="C456" s="438"/>
      <c r="D456" s="418"/>
      <c r="E456" s="420" t="s">
        <v>553</v>
      </c>
      <c r="F456" s="421">
        <f t="shared" si="189"/>
        <v>2250000</v>
      </c>
      <c r="G456" s="421">
        <f t="shared" si="189"/>
        <v>324000</v>
      </c>
      <c r="H456" s="421">
        <f t="shared" si="189"/>
        <v>1500000</v>
      </c>
      <c r="I456" s="421">
        <f t="shared" si="189"/>
        <v>1824000</v>
      </c>
      <c r="J456" s="421">
        <f t="shared" si="189"/>
        <v>426000</v>
      </c>
      <c r="K456" s="418"/>
    </row>
    <row r="457" spans="1:11" hidden="1" x14ac:dyDescent="0.25">
      <c r="A457" s="438"/>
      <c r="B457" s="419" t="s">
        <v>552</v>
      </c>
      <c r="C457" s="419" t="s">
        <v>359</v>
      </c>
      <c r="D457" s="418"/>
      <c r="E457" s="420" t="s">
        <v>67</v>
      </c>
      <c r="F457" s="421">
        <f t="shared" si="189"/>
        <v>2250000</v>
      </c>
      <c r="G457" s="421">
        <f t="shared" si="189"/>
        <v>324000</v>
      </c>
      <c r="H457" s="421">
        <f t="shared" si="189"/>
        <v>1500000</v>
      </c>
      <c r="I457" s="421">
        <f t="shared" si="189"/>
        <v>1824000</v>
      </c>
      <c r="J457" s="421">
        <f t="shared" si="189"/>
        <v>426000</v>
      </c>
      <c r="K457" s="418"/>
    </row>
    <row r="458" spans="1:11" hidden="1" x14ac:dyDescent="0.25">
      <c r="A458" s="440"/>
      <c r="B458" s="423" t="s">
        <v>552</v>
      </c>
      <c r="C458" s="423" t="s">
        <v>360</v>
      </c>
      <c r="D458" s="422"/>
      <c r="E458" s="424" t="s">
        <v>361</v>
      </c>
      <c r="F458" s="425">
        <f>SUM(F459)</f>
        <v>2250000</v>
      </c>
      <c r="G458" s="425">
        <f>SUM(G459)</f>
        <v>324000</v>
      </c>
      <c r="H458" s="425">
        <f>SUM(H459)</f>
        <v>1500000</v>
      </c>
      <c r="I458" s="425">
        <f>SUM(I459)</f>
        <v>1824000</v>
      </c>
      <c r="J458" s="425">
        <f>SUM(J459)</f>
        <v>426000</v>
      </c>
      <c r="K458" s="422"/>
    </row>
    <row r="459" spans="1:11" hidden="1" x14ac:dyDescent="0.25">
      <c r="A459" s="450"/>
      <c r="B459" s="451" t="s">
        <v>552</v>
      </c>
      <c r="C459" s="451" t="s">
        <v>366</v>
      </c>
      <c r="D459" s="452"/>
      <c r="E459" s="453" t="s">
        <v>367</v>
      </c>
      <c r="F459" s="454">
        <v>2250000</v>
      </c>
      <c r="G459" s="454">
        <v>324000</v>
      </c>
      <c r="H459" s="429">
        <f>[2]Nov!I500</f>
        <v>1500000</v>
      </c>
      <c r="I459" s="454">
        <f t="shared" ref="I459" si="190">G459+H459</f>
        <v>1824000</v>
      </c>
      <c r="J459" s="454">
        <f t="shared" ref="J459" si="191">F459-I459</f>
        <v>426000</v>
      </c>
      <c r="K459" s="452"/>
    </row>
    <row r="460" spans="1:11" hidden="1" x14ac:dyDescent="0.25">
      <c r="A460" s="450"/>
      <c r="B460" s="451"/>
      <c r="C460" s="451"/>
      <c r="D460" s="452"/>
      <c r="E460" s="453"/>
      <c r="F460" s="454"/>
      <c r="G460" s="454"/>
      <c r="H460" s="429"/>
      <c r="I460" s="454"/>
      <c r="J460" s="454"/>
      <c r="K460" s="452"/>
    </row>
    <row r="461" spans="1:11" x14ac:dyDescent="0.25">
      <c r="A461" s="438"/>
      <c r="B461" s="419">
        <v>3</v>
      </c>
      <c r="C461" s="438"/>
      <c r="D461" s="420" t="s">
        <v>554</v>
      </c>
      <c r="E461" s="418"/>
      <c r="F461" s="421">
        <f>F462+F470+F491+F507</f>
        <v>27045020</v>
      </c>
      <c r="G461" s="421">
        <f>G462+G470+G491+G507</f>
        <v>4024500</v>
      </c>
      <c r="H461" s="421">
        <f>H462+H470+H491+H507</f>
        <v>15224750</v>
      </c>
      <c r="I461" s="421">
        <f>I462+I470+I491+I507</f>
        <v>19249250</v>
      </c>
      <c r="J461" s="421">
        <f>J462+J470+J491+J507</f>
        <v>7795770</v>
      </c>
      <c r="K461" s="418"/>
    </row>
    <row r="462" spans="1:11" x14ac:dyDescent="0.25">
      <c r="A462" s="438"/>
      <c r="B462" s="419" t="s">
        <v>555</v>
      </c>
      <c r="C462" s="438"/>
      <c r="D462" s="420" t="s">
        <v>556</v>
      </c>
      <c r="E462" s="418"/>
      <c r="F462" s="421">
        <f t="shared" ref="F462:J463" si="192">F463</f>
        <v>2070000</v>
      </c>
      <c r="G462" s="421">
        <f t="shared" si="192"/>
        <v>0</v>
      </c>
      <c r="H462" s="421">
        <f t="shared" si="192"/>
        <v>2070000</v>
      </c>
      <c r="I462" s="421">
        <f t="shared" si="192"/>
        <v>2070000</v>
      </c>
      <c r="J462" s="421">
        <f t="shared" si="192"/>
        <v>0</v>
      </c>
      <c r="K462" s="418"/>
    </row>
    <row r="463" spans="1:11" x14ac:dyDescent="0.25">
      <c r="A463" s="438"/>
      <c r="B463" s="419" t="s">
        <v>557</v>
      </c>
      <c r="C463" s="438"/>
      <c r="D463" s="418"/>
      <c r="E463" s="420" t="s">
        <v>558</v>
      </c>
      <c r="F463" s="421">
        <f t="shared" si="192"/>
        <v>2070000</v>
      </c>
      <c r="G463" s="421">
        <f t="shared" si="192"/>
        <v>0</v>
      </c>
      <c r="H463" s="421">
        <f t="shared" si="192"/>
        <v>2070000</v>
      </c>
      <c r="I463" s="421">
        <f t="shared" si="192"/>
        <v>2070000</v>
      </c>
      <c r="J463" s="421">
        <f t="shared" si="192"/>
        <v>0</v>
      </c>
      <c r="K463" s="418"/>
    </row>
    <row r="464" spans="1:11" hidden="1" x14ac:dyDescent="0.25">
      <c r="A464" s="438"/>
      <c r="B464" s="419" t="s">
        <v>557</v>
      </c>
      <c r="C464" s="419" t="s">
        <v>359</v>
      </c>
      <c r="D464" s="418"/>
      <c r="E464" s="420" t="s">
        <v>67</v>
      </c>
      <c r="F464" s="421">
        <f>F465+F467</f>
        <v>2070000</v>
      </c>
      <c r="G464" s="421">
        <f>G465+G467</f>
        <v>0</v>
      </c>
      <c r="H464" s="421">
        <f>H465+H467</f>
        <v>2070000</v>
      </c>
      <c r="I464" s="421">
        <f>I465+I467</f>
        <v>2070000</v>
      </c>
      <c r="J464" s="421">
        <f>J465+J467</f>
        <v>0</v>
      </c>
      <c r="K464" s="418"/>
    </row>
    <row r="465" spans="1:11" hidden="1" x14ac:dyDescent="0.25">
      <c r="A465" s="440"/>
      <c r="B465" s="423" t="s">
        <v>557</v>
      </c>
      <c r="C465" s="423" t="s">
        <v>360</v>
      </c>
      <c r="D465" s="422"/>
      <c r="E465" s="424" t="s">
        <v>361</v>
      </c>
      <c r="F465" s="425">
        <f>SUM(F466)</f>
        <v>1620000</v>
      </c>
      <c r="G465" s="425">
        <f>SUM(G466)</f>
        <v>0</v>
      </c>
      <c r="H465" s="425">
        <f>SUM(H466)</f>
        <v>1620000</v>
      </c>
      <c r="I465" s="425">
        <f>SUM(I466)</f>
        <v>1620000</v>
      </c>
      <c r="J465" s="425">
        <f>SUM(J466)</f>
        <v>0</v>
      </c>
      <c r="K465" s="422"/>
    </row>
    <row r="466" spans="1:11" hidden="1" x14ac:dyDescent="0.25">
      <c r="A466" s="439"/>
      <c r="B466" s="427" t="s">
        <v>557</v>
      </c>
      <c r="C466" s="427" t="s">
        <v>368</v>
      </c>
      <c r="D466" s="426"/>
      <c r="E466" s="428" t="s">
        <v>369</v>
      </c>
      <c r="F466" s="429">
        <v>1620000</v>
      </c>
      <c r="G466" s="429">
        <v>0</v>
      </c>
      <c r="H466" s="429">
        <f>[2]Nov!I510</f>
        <v>1620000</v>
      </c>
      <c r="I466" s="429">
        <f t="shared" ref="I466" si="193">G466+H466</f>
        <v>1620000</v>
      </c>
      <c r="J466" s="429">
        <f t="shared" ref="J466" si="194">F466-I466</f>
        <v>0</v>
      </c>
      <c r="K466" s="426"/>
    </row>
    <row r="467" spans="1:11" hidden="1" x14ac:dyDescent="0.25">
      <c r="A467" s="440"/>
      <c r="B467" s="423" t="s">
        <v>557</v>
      </c>
      <c r="C467" s="423" t="s">
        <v>370</v>
      </c>
      <c r="D467" s="422"/>
      <c r="E467" s="424" t="s">
        <v>81</v>
      </c>
      <c r="F467" s="425">
        <f>SUM(F468)</f>
        <v>450000</v>
      </c>
      <c r="G467" s="425">
        <f>SUM(G468)</f>
        <v>0</v>
      </c>
      <c r="H467" s="425">
        <f>SUM(H468)</f>
        <v>450000</v>
      </c>
      <c r="I467" s="425">
        <f>SUM(I468)</f>
        <v>450000</v>
      </c>
      <c r="J467" s="425">
        <f>SUM(J468)</f>
        <v>0</v>
      </c>
      <c r="K467" s="422"/>
    </row>
    <row r="468" spans="1:11" hidden="1" x14ac:dyDescent="0.25">
      <c r="A468" s="439"/>
      <c r="B468" s="427" t="s">
        <v>557</v>
      </c>
      <c r="C468" s="427" t="s">
        <v>476</v>
      </c>
      <c r="D468" s="426"/>
      <c r="E468" s="428" t="s">
        <v>477</v>
      </c>
      <c r="F468" s="429">
        <v>450000</v>
      </c>
      <c r="G468" s="429">
        <v>0</v>
      </c>
      <c r="H468" s="429">
        <f>[2]Nov!I512</f>
        <v>450000</v>
      </c>
      <c r="I468" s="429">
        <f t="shared" ref="I468" si="195">G468+H468</f>
        <v>450000</v>
      </c>
      <c r="J468" s="429">
        <f t="shared" ref="J468" si="196">F468-I468</f>
        <v>0</v>
      </c>
      <c r="K468" s="426"/>
    </row>
    <row r="469" spans="1:11" hidden="1" x14ac:dyDescent="0.25">
      <c r="A469" s="439"/>
      <c r="B469" s="427"/>
      <c r="C469" s="427"/>
      <c r="D469" s="426"/>
      <c r="E469" s="428"/>
      <c r="F469" s="429"/>
      <c r="G469" s="429"/>
      <c r="H469" s="429"/>
      <c r="I469" s="429"/>
      <c r="J469" s="429"/>
      <c r="K469" s="426"/>
    </row>
    <row r="470" spans="1:11" x14ac:dyDescent="0.25">
      <c r="A470" s="438"/>
      <c r="B470" s="419" t="s">
        <v>559</v>
      </c>
      <c r="C470" s="438"/>
      <c r="D470" s="420" t="s">
        <v>560</v>
      </c>
      <c r="E470" s="418"/>
      <c r="F470" s="421">
        <f>F471+F482</f>
        <v>6910000</v>
      </c>
      <c r="G470" s="421">
        <f>G471+G482</f>
        <v>0</v>
      </c>
      <c r="H470" s="421">
        <f>H471+H482</f>
        <v>375000</v>
      </c>
      <c r="I470" s="421">
        <f>I471+I482</f>
        <v>375000</v>
      </c>
      <c r="J470" s="421">
        <f>J471+J482</f>
        <v>6535000</v>
      </c>
      <c r="K470" s="418"/>
    </row>
    <row r="471" spans="1:11" ht="37.5" customHeight="1" x14ac:dyDescent="0.25">
      <c r="A471" s="438"/>
      <c r="B471" s="449" t="s">
        <v>561</v>
      </c>
      <c r="C471" s="438"/>
      <c r="D471" s="418"/>
      <c r="E471" s="484" t="s">
        <v>562</v>
      </c>
      <c r="F471" s="443">
        <f>F472</f>
        <v>6910000</v>
      </c>
      <c r="G471" s="443">
        <f>G472</f>
        <v>0</v>
      </c>
      <c r="H471" s="443">
        <f>H472</f>
        <v>375000</v>
      </c>
      <c r="I471" s="443">
        <f>I472</f>
        <v>375000</v>
      </c>
      <c r="J471" s="443">
        <f>J472</f>
        <v>6535000</v>
      </c>
      <c r="K471" s="418"/>
    </row>
    <row r="472" spans="1:11" hidden="1" x14ac:dyDescent="0.25">
      <c r="A472" s="438"/>
      <c r="B472" s="419" t="s">
        <v>561</v>
      </c>
      <c r="C472" s="419" t="s">
        <v>359</v>
      </c>
      <c r="D472" s="418"/>
      <c r="E472" s="420" t="s">
        <v>67</v>
      </c>
      <c r="F472" s="421">
        <f>F473+F476+F478</f>
        <v>6910000</v>
      </c>
      <c r="G472" s="421">
        <f>G473+G476+G478</f>
        <v>0</v>
      </c>
      <c r="H472" s="421">
        <f>H473+H476+H478</f>
        <v>375000</v>
      </c>
      <c r="I472" s="421">
        <f>I473+I476+I478</f>
        <v>375000</v>
      </c>
      <c r="J472" s="421">
        <f>J473+J476+J478</f>
        <v>6535000</v>
      </c>
      <c r="K472" s="418"/>
    </row>
    <row r="473" spans="1:11" hidden="1" x14ac:dyDescent="0.25">
      <c r="A473" s="440"/>
      <c r="B473" s="423" t="s">
        <v>561</v>
      </c>
      <c r="C473" s="423" t="s">
        <v>360</v>
      </c>
      <c r="D473" s="422"/>
      <c r="E473" s="424" t="s">
        <v>361</v>
      </c>
      <c r="F473" s="425">
        <f>SUM(F474:F475)</f>
        <v>4460000</v>
      </c>
      <c r="G473" s="425">
        <f>SUM(G474:G475)</f>
        <v>0</v>
      </c>
      <c r="H473" s="425">
        <f>SUM(H474:H475)</f>
        <v>375000</v>
      </c>
      <c r="I473" s="425">
        <f>SUM(I474:I475)</f>
        <v>375000</v>
      </c>
      <c r="J473" s="425">
        <f>SUM(J474:J475)</f>
        <v>4085000</v>
      </c>
      <c r="K473" s="422"/>
    </row>
    <row r="474" spans="1:11" hidden="1" x14ac:dyDescent="0.25">
      <c r="A474" s="439"/>
      <c r="B474" s="427" t="s">
        <v>561</v>
      </c>
      <c r="C474" s="427" t="s">
        <v>366</v>
      </c>
      <c r="D474" s="426"/>
      <c r="E474" s="428" t="s">
        <v>367</v>
      </c>
      <c r="F474" s="429">
        <v>375000</v>
      </c>
      <c r="G474" s="429">
        <v>0</v>
      </c>
      <c r="H474" s="429">
        <f>[2]Nov!I518</f>
        <v>375000</v>
      </c>
      <c r="I474" s="429">
        <f t="shared" ref="I474:I475" si="197">G474+H474</f>
        <v>375000</v>
      </c>
      <c r="J474" s="429">
        <f t="shared" ref="J474:J475" si="198">F474-I474</f>
        <v>0</v>
      </c>
      <c r="K474" s="426"/>
    </row>
    <row r="475" spans="1:11" hidden="1" x14ac:dyDescent="0.25">
      <c r="A475" s="439"/>
      <c r="B475" s="427" t="s">
        <v>561</v>
      </c>
      <c r="C475" s="427" t="s">
        <v>368</v>
      </c>
      <c r="D475" s="426"/>
      <c r="E475" s="428" t="s">
        <v>369</v>
      </c>
      <c r="F475" s="429">
        <v>4085000</v>
      </c>
      <c r="G475" s="429">
        <v>0</v>
      </c>
      <c r="H475" s="429">
        <f>[2]Nov!I519</f>
        <v>0</v>
      </c>
      <c r="I475" s="429">
        <f t="shared" si="197"/>
        <v>0</v>
      </c>
      <c r="J475" s="429">
        <f t="shared" si="198"/>
        <v>4085000</v>
      </c>
      <c r="K475" s="426"/>
    </row>
    <row r="476" spans="1:11" hidden="1" x14ac:dyDescent="0.25">
      <c r="A476" s="440"/>
      <c r="B476" s="423" t="s">
        <v>561</v>
      </c>
      <c r="C476" s="423" t="s">
        <v>370</v>
      </c>
      <c r="D476" s="422"/>
      <c r="E476" s="424" t="s">
        <v>81</v>
      </c>
      <c r="F476" s="425">
        <f>SUM(F477)</f>
        <v>1400000</v>
      </c>
      <c r="G476" s="425">
        <f>SUM(G477)</f>
        <v>0</v>
      </c>
      <c r="H476" s="425">
        <f>SUM(H477)</f>
        <v>0</v>
      </c>
      <c r="I476" s="425">
        <f>SUM(I477)</f>
        <v>0</v>
      </c>
      <c r="J476" s="425">
        <f>SUM(J477)</f>
        <v>1400000</v>
      </c>
      <c r="K476" s="422"/>
    </row>
    <row r="477" spans="1:11" hidden="1" x14ac:dyDescent="0.25">
      <c r="A477" s="439"/>
      <c r="B477" s="427" t="s">
        <v>561</v>
      </c>
      <c r="C477" s="427" t="s">
        <v>478</v>
      </c>
      <c r="D477" s="426"/>
      <c r="E477" s="428" t="s">
        <v>479</v>
      </c>
      <c r="F477" s="429">
        <v>1400000</v>
      </c>
      <c r="G477" s="429">
        <v>0</v>
      </c>
      <c r="H477" s="429">
        <f>[2]Nov!I521</f>
        <v>0</v>
      </c>
      <c r="I477" s="429">
        <f t="shared" ref="I477" si="199">G477+H477</f>
        <v>0</v>
      </c>
      <c r="J477" s="429">
        <f t="shared" ref="J477" si="200">F477-I477</f>
        <v>1400000</v>
      </c>
      <c r="K477" s="426"/>
    </row>
    <row r="478" spans="1:11" hidden="1" x14ac:dyDescent="0.25">
      <c r="A478" s="440"/>
      <c r="B478" s="423" t="s">
        <v>561</v>
      </c>
      <c r="C478" s="423" t="s">
        <v>455</v>
      </c>
      <c r="D478" s="422"/>
      <c r="E478" s="424" t="s">
        <v>83</v>
      </c>
      <c r="F478" s="425">
        <f>SUM(F479:F480)</f>
        <v>1050000</v>
      </c>
      <c r="G478" s="425">
        <f>SUM(G479:G480)</f>
        <v>0</v>
      </c>
      <c r="H478" s="425">
        <f>SUM(H479:H480)</f>
        <v>0</v>
      </c>
      <c r="I478" s="425">
        <f>SUM(I479:I480)</f>
        <v>0</v>
      </c>
      <c r="J478" s="425">
        <f>SUM(J479:J480)</f>
        <v>1050000</v>
      </c>
      <c r="K478" s="422"/>
    </row>
    <row r="479" spans="1:11" hidden="1" x14ac:dyDescent="0.25">
      <c r="A479" s="439"/>
      <c r="B479" s="427" t="s">
        <v>561</v>
      </c>
      <c r="C479" s="427" t="s">
        <v>467</v>
      </c>
      <c r="D479" s="426"/>
      <c r="E479" s="428" t="s">
        <v>468</v>
      </c>
      <c r="F479" s="429">
        <v>750000</v>
      </c>
      <c r="G479" s="429">
        <v>0</v>
      </c>
      <c r="H479" s="429">
        <f>[2]Nov!I523</f>
        <v>0</v>
      </c>
      <c r="I479" s="429">
        <f t="shared" ref="I479:I480" si="201">G479+H479</f>
        <v>0</v>
      </c>
      <c r="J479" s="429">
        <f t="shared" ref="J479:J480" si="202">F479-I479</f>
        <v>750000</v>
      </c>
      <c r="K479" s="426"/>
    </row>
    <row r="480" spans="1:11" hidden="1" x14ac:dyDescent="0.25">
      <c r="A480" s="450"/>
      <c r="B480" s="451" t="s">
        <v>561</v>
      </c>
      <c r="C480" s="451" t="s">
        <v>563</v>
      </c>
      <c r="D480" s="452"/>
      <c r="E480" s="453" t="s">
        <v>564</v>
      </c>
      <c r="F480" s="454">
        <v>300000</v>
      </c>
      <c r="G480" s="454">
        <v>0</v>
      </c>
      <c r="H480" s="429">
        <f>[2]Nov!I524</f>
        <v>0</v>
      </c>
      <c r="I480" s="454">
        <f t="shared" si="201"/>
        <v>0</v>
      </c>
      <c r="J480" s="454">
        <f t="shared" si="202"/>
        <v>300000</v>
      </c>
      <c r="K480" s="452"/>
    </row>
    <row r="481" spans="1:11" hidden="1" x14ac:dyDescent="0.25">
      <c r="A481" s="439"/>
      <c r="B481" s="427"/>
      <c r="C481" s="427"/>
      <c r="D481" s="426"/>
      <c r="E481" s="428"/>
      <c r="F481" s="429"/>
      <c r="G481" s="429"/>
      <c r="H481" s="429"/>
      <c r="I481" s="429"/>
      <c r="J481" s="429"/>
      <c r="K481" s="426"/>
    </row>
    <row r="482" spans="1:11" hidden="1" x14ac:dyDescent="0.25">
      <c r="A482" s="455"/>
      <c r="B482" s="456" t="s">
        <v>565</v>
      </c>
      <c r="C482" s="455"/>
      <c r="D482" s="457"/>
      <c r="E482" s="458" t="s">
        <v>566</v>
      </c>
      <c r="F482" s="459">
        <f>F483</f>
        <v>0</v>
      </c>
      <c r="G482" s="459">
        <f>G483</f>
        <v>0</v>
      </c>
      <c r="H482" s="459">
        <f>H483</f>
        <v>0</v>
      </c>
      <c r="I482" s="459">
        <f>I483</f>
        <v>0</v>
      </c>
      <c r="J482" s="459">
        <f>J483</f>
        <v>0</v>
      </c>
      <c r="K482" s="457"/>
    </row>
    <row r="483" spans="1:11" hidden="1" x14ac:dyDescent="0.25">
      <c r="A483" s="438"/>
      <c r="B483" s="419" t="s">
        <v>565</v>
      </c>
      <c r="C483" s="419" t="s">
        <v>359</v>
      </c>
      <c r="D483" s="418"/>
      <c r="E483" s="420" t="s">
        <v>67</v>
      </c>
      <c r="F483" s="421">
        <f>F484+F486+F488</f>
        <v>0</v>
      </c>
      <c r="G483" s="421">
        <f>G484+G486+G488</f>
        <v>0</v>
      </c>
      <c r="H483" s="421">
        <f>H484+H486+H488</f>
        <v>0</v>
      </c>
      <c r="I483" s="421">
        <f>I484+I486+I488</f>
        <v>0</v>
      </c>
      <c r="J483" s="421">
        <f>J484+J486+J488</f>
        <v>0</v>
      </c>
      <c r="K483" s="418"/>
    </row>
    <row r="484" spans="1:11" hidden="1" x14ac:dyDescent="0.25">
      <c r="A484" s="440"/>
      <c r="B484" s="423" t="s">
        <v>565</v>
      </c>
      <c r="C484" s="423" t="s">
        <v>360</v>
      </c>
      <c r="D484" s="422"/>
      <c r="E484" s="424" t="s">
        <v>361</v>
      </c>
      <c r="F484" s="425">
        <f>SUM(F485)</f>
        <v>0</v>
      </c>
      <c r="G484" s="425">
        <f>SUM(G485)</f>
        <v>0</v>
      </c>
      <c r="H484" s="425">
        <f>SUM(H485)</f>
        <v>0</v>
      </c>
      <c r="I484" s="425">
        <f>SUM(I485)</f>
        <v>0</v>
      </c>
      <c r="J484" s="425">
        <f>SUM(J485)</f>
        <v>0</v>
      </c>
      <c r="K484" s="422"/>
    </row>
    <row r="485" spans="1:11" hidden="1" x14ac:dyDescent="0.25">
      <c r="A485" s="439"/>
      <c r="B485" s="427" t="s">
        <v>565</v>
      </c>
      <c r="C485" s="427" t="s">
        <v>368</v>
      </c>
      <c r="D485" s="426"/>
      <c r="E485" s="428" t="s">
        <v>369</v>
      </c>
      <c r="F485" s="429">
        <v>0</v>
      </c>
      <c r="G485" s="429">
        <v>0</v>
      </c>
      <c r="H485" s="429">
        <f>[2]Nov!I529</f>
        <v>0</v>
      </c>
      <c r="I485" s="429">
        <f t="shared" ref="I485" si="203">G485+H485</f>
        <v>0</v>
      </c>
      <c r="J485" s="429">
        <f t="shared" ref="J485" si="204">F485-I485</f>
        <v>0</v>
      </c>
      <c r="K485" s="426"/>
    </row>
    <row r="486" spans="1:11" hidden="1" x14ac:dyDescent="0.25">
      <c r="A486" s="440"/>
      <c r="B486" s="423" t="s">
        <v>565</v>
      </c>
      <c r="C486" s="423" t="s">
        <v>455</v>
      </c>
      <c r="D486" s="422"/>
      <c r="E486" s="424" t="s">
        <v>83</v>
      </c>
      <c r="F486" s="425">
        <f>SUM(F487)</f>
        <v>0</v>
      </c>
      <c r="G486" s="425">
        <f>SUM(G487)</f>
        <v>0</v>
      </c>
      <c r="H486" s="425">
        <f>SUM(H487)</f>
        <v>0</v>
      </c>
      <c r="I486" s="425">
        <f>SUM(I487)</f>
        <v>0</v>
      </c>
      <c r="J486" s="425">
        <f>SUM(J487)</f>
        <v>0</v>
      </c>
      <c r="K486" s="422"/>
    </row>
    <row r="487" spans="1:11" hidden="1" x14ac:dyDescent="0.25">
      <c r="A487" s="439"/>
      <c r="B487" s="427" t="s">
        <v>565</v>
      </c>
      <c r="C487" s="427" t="s">
        <v>467</v>
      </c>
      <c r="D487" s="426"/>
      <c r="E487" s="428" t="s">
        <v>468</v>
      </c>
      <c r="F487" s="429">
        <v>0</v>
      </c>
      <c r="G487" s="429">
        <v>0</v>
      </c>
      <c r="H487" s="429">
        <f>[2]Nov!I531</f>
        <v>0</v>
      </c>
      <c r="I487" s="429">
        <f t="shared" ref="I487" si="205">G487+H487</f>
        <v>0</v>
      </c>
      <c r="J487" s="429">
        <f t="shared" ref="J487" si="206">F487-I487</f>
        <v>0</v>
      </c>
      <c r="K487" s="426"/>
    </row>
    <row r="488" spans="1:11" hidden="1" x14ac:dyDescent="0.25">
      <c r="A488" s="440"/>
      <c r="B488" s="423" t="s">
        <v>565</v>
      </c>
      <c r="C488" s="423" t="s">
        <v>460</v>
      </c>
      <c r="D488" s="422"/>
      <c r="E488" s="424" t="s">
        <v>461</v>
      </c>
      <c r="F488" s="425">
        <f>SUM(F489)</f>
        <v>0</v>
      </c>
      <c r="G488" s="425">
        <f>SUM(G489)</f>
        <v>0</v>
      </c>
      <c r="H488" s="425">
        <f>SUM(H489)</f>
        <v>0</v>
      </c>
      <c r="I488" s="425">
        <f>SUM(I489)</f>
        <v>0</v>
      </c>
      <c r="J488" s="425">
        <f>SUM(J489)</f>
        <v>0</v>
      </c>
      <c r="K488" s="422"/>
    </row>
    <row r="489" spans="1:11" hidden="1" x14ac:dyDescent="0.25">
      <c r="A489" s="439"/>
      <c r="B489" s="427" t="s">
        <v>565</v>
      </c>
      <c r="C489" s="427" t="s">
        <v>462</v>
      </c>
      <c r="D489" s="426"/>
      <c r="E489" s="428" t="s">
        <v>463</v>
      </c>
      <c r="F489" s="429">
        <v>0</v>
      </c>
      <c r="G489" s="429">
        <v>0</v>
      </c>
      <c r="H489" s="429">
        <f>[2]Nov!I533</f>
        <v>0</v>
      </c>
      <c r="I489" s="429">
        <f t="shared" ref="I489" si="207">G489+H489</f>
        <v>0</v>
      </c>
      <c r="J489" s="429">
        <f t="shared" ref="J489" si="208">F489-I489</f>
        <v>0</v>
      </c>
      <c r="K489" s="426"/>
    </row>
    <row r="490" spans="1:11" hidden="1" x14ac:dyDescent="0.25">
      <c r="A490" s="439"/>
      <c r="B490" s="427"/>
      <c r="C490" s="427"/>
      <c r="D490" s="426"/>
      <c r="E490" s="428"/>
      <c r="F490" s="429"/>
      <c r="G490" s="429"/>
      <c r="H490" s="429"/>
      <c r="I490" s="429"/>
      <c r="J490" s="429"/>
      <c r="K490" s="426"/>
    </row>
    <row r="491" spans="1:11" x14ac:dyDescent="0.25">
      <c r="A491" s="438"/>
      <c r="B491" s="419" t="s">
        <v>567</v>
      </c>
      <c r="C491" s="438"/>
      <c r="D491" s="420" t="s">
        <v>568</v>
      </c>
      <c r="E491" s="418"/>
      <c r="F491" s="421">
        <f>F492+F500</f>
        <v>2792500</v>
      </c>
      <c r="G491" s="421">
        <f>G492+G500</f>
        <v>295000</v>
      </c>
      <c r="H491" s="421">
        <f>H492+H500</f>
        <v>2468250</v>
      </c>
      <c r="I491" s="421">
        <f>I492+I500</f>
        <v>2763250</v>
      </c>
      <c r="J491" s="421">
        <f>J492+J500</f>
        <v>29250</v>
      </c>
      <c r="K491" s="418"/>
    </row>
    <row r="492" spans="1:11" x14ac:dyDescent="0.25">
      <c r="A492" s="438"/>
      <c r="B492" s="419" t="s">
        <v>569</v>
      </c>
      <c r="C492" s="438"/>
      <c r="D492" s="418"/>
      <c r="E492" s="420" t="s">
        <v>570</v>
      </c>
      <c r="F492" s="421">
        <f>F493</f>
        <v>1320000</v>
      </c>
      <c r="G492" s="421">
        <f>G493</f>
        <v>0</v>
      </c>
      <c r="H492" s="421">
        <f>H493</f>
        <v>1320000</v>
      </c>
      <c r="I492" s="421">
        <f>I493</f>
        <v>1320000</v>
      </c>
      <c r="J492" s="421">
        <f>J493</f>
        <v>0</v>
      </c>
      <c r="K492" s="418"/>
    </row>
    <row r="493" spans="1:11" hidden="1" x14ac:dyDescent="0.25">
      <c r="A493" s="438"/>
      <c r="B493" s="419" t="s">
        <v>569</v>
      </c>
      <c r="C493" s="419" t="s">
        <v>359</v>
      </c>
      <c r="D493" s="418"/>
      <c r="E493" s="420" t="s">
        <v>67</v>
      </c>
      <c r="F493" s="421">
        <f>F494+F497</f>
        <v>1320000</v>
      </c>
      <c r="G493" s="421">
        <f>G494+G497</f>
        <v>0</v>
      </c>
      <c r="H493" s="421">
        <f>H494+H497</f>
        <v>1320000</v>
      </c>
      <c r="I493" s="421">
        <f>I494+I497</f>
        <v>1320000</v>
      </c>
      <c r="J493" s="421">
        <f>J494+J497</f>
        <v>0</v>
      </c>
      <c r="K493" s="418"/>
    </row>
    <row r="494" spans="1:11" hidden="1" x14ac:dyDescent="0.25">
      <c r="A494" s="440"/>
      <c r="B494" s="423" t="s">
        <v>569</v>
      </c>
      <c r="C494" s="423" t="s">
        <v>360</v>
      </c>
      <c r="D494" s="422"/>
      <c r="E494" s="424" t="s">
        <v>361</v>
      </c>
      <c r="F494" s="425">
        <f>SUM(F495:F496)</f>
        <v>870000</v>
      </c>
      <c r="G494" s="425">
        <f>SUM(G495:G496)</f>
        <v>0</v>
      </c>
      <c r="H494" s="425">
        <f>SUM(H495:H496)</f>
        <v>870000</v>
      </c>
      <c r="I494" s="425">
        <f>SUM(I495:I496)</f>
        <v>870000</v>
      </c>
      <c r="J494" s="425">
        <f>SUM(J495:J496)</f>
        <v>0</v>
      </c>
      <c r="K494" s="422"/>
    </row>
    <row r="495" spans="1:11" hidden="1" x14ac:dyDescent="0.25">
      <c r="A495" s="439"/>
      <c r="B495" s="427" t="s">
        <v>569</v>
      </c>
      <c r="C495" s="427" t="s">
        <v>366</v>
      </c>
      <c r="D495" s="426"/>
      <c r="E495" s="428" t="s">
        <v>367</v>
      </c>
      <c r="F495" s="429">
        <v>50000</v>
      </c>
      <c r="G495" s="429">
        <v>0</v>
      </c>
      <c r="H495" s="429">
        <f>[2]Nov!I539</f>
        <v>50000</v>
      </c>
      <c r="I495" s="429">
        <f t="shared" ref="I495:I496" si="209">G495+H495</f>
        <v>50000</v>
      </c>
      <c r="J495" s="429">
        <f t="shared" ref="J495:J496" si="210">F495-I495</f>
        <v>0</v>
      </c>
      <c r="K495" s="426"/>
    </row>
    <row r="496" spans="1:11" hidden="1" x14ac:dyDescent="0.25">
      <c r="A496" s="439"/>
      <c r="B496" s="427" t="s">
        <v>569</v>
      </c>
      <c r="C496" s="427" t="s">
        <v>368</v>
      </c>
      <c r="D496" s="426"/>
      <c r="E496" s="428" t="s">
        <v>369</v>
      </c>
      <c r="F496" s="429">
        <v>820000</v>
      </c>
      <c r="G496" s="429">
        <v>0</v>
      </c>
      <c r="H496" s="429">
        <f>[2]Nov!I540</f>
        <v>820000</v>
      </c>
      <c r="I496" s="429">
        <f t="shared" si="209"/>
        <v>820000</v>
      </c>
      <c r="J496" s="429">
        <f t="shared" si="210"/>
        <v>0</v>
      </c>
      <c r="K496" s="426"/>
    </row>
    <row r="497" spans="1:11" hidden="1" x14ac:dyDescent="0.25">
      <c r="A497" s="440"/>
      <c r="B497" s="423" t="s">
        <v>569</v>
      </c>
      <c r="C497" s="423" t="s">
        <v>370</v>
      </c>
      <c r="D497" s="422"/>
      <c r="E497" s="424" t="s">
        <v>81</v>
      </c>
      <c r="F497" s="425">
        <f>SUM(F498)</f>
        <v>450000</v>
      </c>
      <c r="G497" s="425">
        <f>SUM(G498)</f>
        <v>0</v>
      </c>
      <c r="H497" s="425">
        <f>SUM(H498)</f>
        <v>450000</v>
      </c>
      <c r="I497" s="425">
        <f>SUM(I498)</f>
        <v>450000</v>
      </c>
      <c r="J497" s="425">
        <f>SUM(J498)</f>
        <v>0</v>
      </c>
      <c r="K497" s="422"/>
    </row>
    <row r="498" spans="1:11" hidden="1" x14ac:dyDescent="0.25">
      <c r="A498" s="439"/>
      <c r="B498" s="427" t="s">
        <v>569</v>
      </c>
      <c r="C498" s="427" t="s">
        <v>476</v>
      </c>
      <c r="D498" s="426"/>
      <c r="E498" s="428" t="s">
        <v>477</v>
      </c>
      <c r="F498" s="429">
        <v>450000</v>
      </c>
      <c r="G498" s="429">
        <v>0</v>
      </c>
      <c r="H498" s="429">
        <f>[2]Nov!I542</f>
        <v>450000</v>
      </c>
      <c r="I498" s="429">
        <f t="shared" ref="I498" si="211">G498+H498</f>
        <v>450000</v>
      </c>
      <c r="J498" s="429">
        <f t="shared" ref="J498" si="212">F498-I498</f>
        <v>0</v>
      </c>
      <c r="K498" s="426"/>
    </row>
    <row r="499" spans="1:11" hidden="1" x14ac:dyDescent="0.25">
      <c r="A499" s="439"/>
      <c r="B499" s="427"/>
      <c r="C499" s="427"/>
      <c r="D499" s="426"/>
      <c r="E499" s="428"/>
      <c r="F499" s="429"/>
      <c r="G499" s="429"/>
      <c r="H499" s="429"/>
      <c r="I499" s="429"/>
      <c r="J499" s="429"/>
      <c r="K499" s="426"/>
    </row>
    <row r="500" spans="1:11" x14ac:dyDescent="0.25">
      <c r="A500" s="438"/>
      <c r="B500" s="419" t="s">
        <v>571</v>
      </c>
      <c r="C500" s="438"/>
      <c r="D500" s="418"/>
      <c r="E500" s="420" t="s">
        <v>572</v>
      </c>
      <c r="F500" s="421">
        <f t="shared" ref="F500:J501" si="213">F501</f>
        <v>1472500</v>
      </c>
      <c r="G500" s="421">
        <f t="shared" si="213"/>
        <v>295000</v>
      </c>
      <c r="H500" s="421">
        <f t="shared" si="213"/>
        <v>1148250</v>
      </c>
      <c r="I500" s="421">
        <f t="shared" si="213"/>
        <v>1443250</v>
      </c>
      <c r="J500" s="421">
        <f t="shared" si="213"/>
        <v>29250</v>
      </c>
      <c r="K500" s="418"/>
    </row>
    <row r="501" spans="1:11" hidden="1" x14ac:dyDescent="0.25">
      <c r="A501" s="438"/>
      <c r="B501" s="419" t="s">
        <v>571</v>
      </c>
      <c r="C501" s="419" t="s">
        <v>359</v>
      </c>
      <c r="D501" s="418"/>
      <c r="E501" s="420" t="s">
        <v>67</v>
      </c>
      <c r="F501" s="421">
        <f t="shared" si="213"/>
        <v>1472500</v>
      </c>
      <c r="G501" s="421">
        <f t="shared" si="213"/>
        <v>295000</v>
      </c>
      <c r="H501" s="421">
        <f t="shared" si="213"/>
        <v>1148250</v>
      </c>
      <c r="I501" s="421">
        <f t="shared" si="213"/>
        <v>1443250</v>
      </c>
      <c r="J501" s="421">
        <f t="shared" si="213"/>
        <v>29250</v>
      </c>
      <c r="K501" s="418"/>
    </row>
    <row r="502" spans="1:11" hidden="1" x14ac:dyDescent="0.25">
      <c r="A502" s="440"/>
      <c r="B502" s="423" t="s">
        <v>571</v>
      </c>
      <c r="C502" s="423" t="s">
        <v>360</v>
      </c>
      <c r="D502" s="422"/>
      <c r="E502" s="424" t="s">
        <v>361</v>
      </c>
      <c r="F502" s="425">
        <f>SUM(F503:F505)</f>
        <v>1472500</v>
      </c>
      <c r="G502" s="425">
        <f>SUM(G503:G505)</f>
        <v>295000</v>
      </c>
      <c r="H502" s="425">
        <f>SUM(H503:H505)</f>
        <v>1148250</v>
      </c>
      <c r="I502" s="425">
        <f>SUM(I503:I505)</f>
        <v>1443250</v>
      </c>
      <c r="J502" s="425">
        <f>SUM(J503:J505)</f>
        <v>29250</v>
      </c>
      <c r="K502" s="422"/>
    </row>
    <row r="503" spans="1:11" hidden="1" x14ac:dyDescent="0.25">
      <c r="A503" s="439"/>
      <c r="B503" s="427" t="s">
        <v>571</v>
      </c>
      <c r="C503" s="427" t="s">
        <v>362</v>
      </c>
      <c r="D503" s="426"/>
      <c r="E503" s="428" t="s">
        <v>363</v>
      </c>
      <c r="F503" s="429">
        <v>200000</v>
      </c>
      <c r="G503" s="429">
        <v>0</v>
      </c>
      <c r="H503" s="429">
        <f>[2]Nov!I549</f>
        <v>200000</v>
      </c>
      <c r="I503" s="429">
        <f t="shared" ref="I503:I505" si="214">G503+H503</f>
        <v>200000</v>
      </c>
      <c r="J503" s="429">
        <f t="shared" ref="J503:J505" si="215">F503-I503</f>
        <v>0</v>
      </c>
      <c r="K503" s="426"/>
    </row>
    <row r="504" spans="1:11" hidden="1" x14ac:dyDescent="0.25">
      <c r="A504" s="439"/>
      <c r="B504" s="427" t="s">
        <v>571</v>
      </c>
      <c r="C504" s="427" t="s">
        <v>366</v>
      </c>
      <c r="D504" s="426"/>
      <c r="E504" s="428" t="s">
        <v>367</v>
      </c>
      <c r="F504" s="429">
        <v>200000</v>
      </c>
      <c r="G504" s="429">
        <v>100000</v>
      </c>
      <c r="H504" s="429">
        <f>[2]Nov!I550</f>
        <v>100000</v>
      </c>
      <c r="I504" s="429">
        <f t="shared" si="214"/>
        <v>200000</v>
      </c>
      <c r="J504" s="429">
        <f t="shared" si="215"/>
        <v>0</v>
      </c>
      <c r="K504" s="426"/>
    </row>
    <row r="505" spans="1:11" hidden="1" x14ac:dyDescent="0.25">
      <c r="A505" s="439"/>
      <c r="B505" s="427" t="s">
        <v>571</v>
      </c>
      <c r="C505" s="427" t="s">
        <v>368</v>
      </c>
      <c r="D505" s="426"/>
      <c r="E505" s="428" t="s">
        <v>369</v>
      </c>
      <c r="F505" s="429">
        <v>1072500</v>
      </c>
      <c r="G505" s="429">
        <v>195000</v>
      </c>
      <c r="H505" s="429">
        <f>[2]Nov!I551</f>
        <v>848250</v>
      </c>
      <c r="I505" s="429">
        <f t="shared" si="214"/>
        <v>1043250</v>
      </c>
      <c r="J505" s="429">
        <f t="shared" si="215"/>
        <v>29250</v>
      </c>
      <c r="K505" s="426"/>
    </row>
    <row r="506" spans="1:11" hidden="1" x14ac:dyDescent="0.25">
      <c r="A506" s="439"/>
      <c r="B506" s="427"/>
      <c r="C506" s="427"/>
      <c r="D506" s="426"/>
      <c r="E506" s="428"/>
      <c r="F506" s="429"/>
      <c r="G506" s="429"/>
      <c r="H506" s="429"/>
      <c r="I506" s="429"/>
      <c r="J506" s="429"/>
      <c r="K506" s="426"/>
    </row>
    <row r="507" spans="1:11" x14ac:dyDescent="0.25">
      <c r="A507" s="438"/>
      <c r="B507" s="419" t="s">
        <v>573</v>
      </c>
      <c r="C507" s="438"/>
      <c r="D507" s="420" t="s">
        <v>112</v>
      </c>
      <c r="E507" s="418"/>
      <c r="F507" s="421">
        <f>F508+F516+F523+F532+F540+F546+F554+F561</f>
        <v>15272520</v>
      </c>
      <c r="G507" s="421">
        <f>G508+G516+G523+G532+G540+G546+G554+G561</f>
        <v>3729500</v>
      </c>
      <c r="H507" s="421">
        <f>H508+H516+H523+H532+H540+H546+H554+H561</f>
        <v>10311500</v>
      </c>
      <c r="I507" s="421">
        <f>I508+I516+I523+I532+I540+I546+I554+I561</f>
        <v>14041000</v>
      </c>
      <c r="J507" s="421">
        <f>J508+J516+J523+J532+J540+J546+J554+J561</f>
        <v>1231520</v>
      </c>
      <c r="K507" s="418"/>
    </row>
    <row r="508" spans="1:11" x14ac:dyDescent="0.25">
      <c r="A508" s="438"/>
      <c r="B508" s="419" t="s">
        <v>574</v>
      </c>
      <c r="C508" s="438"/>
      <c r="D508" s="418"/>
      <c r="E508" s="420" t="s">
        <v>575</v>
      </c>
      <c r="F508" s="421">
        <f>F509</f>
        <v>1320000</v>
      </c>
      <c r="G508" s="421">
        <f>G509</f>
        <v>0</v>
      </c>
      <c r="H508" s="421">
        <f>H509</f>
        <v>1320000</v>
      </c>
      <c r="I508" s="421">
        <f>I509</f>
        <v>1320000</v>
      </c>
      <c r="J508" s="421">
        <f>J509</f>
        <v>0</v>
      </c>
      <c r="K508" s="418"/>
    </row>
    <row r="509" spans="1:11" hidden="1" x14ac:dyDescent="0.25">
      <c r="A509" s="438"/>
      <c r="B509" s="419" t="s">
        <v>574</v>
      </c>
      <c r="C509" s="419" t="s">
        <v>359</v>
      </c>
      <c r="D509" s="418"/>
      <c r="E509" s="420" t="s">
        <v>67</v>
      </c>
      <c r="F509" s="421">
        <f>F510+F513</f>
        <v>1320000</v>
      </c>
      <c r="G509" s="421">
        <f>G510+G513</f>
        <v>0</v>
      </c>
      <c r="H509" s="421">
        <f>H510+H513</f>
        <v>1320000</v>
      </c>
      <c r="I509" s="421">
        <f>I510+I513</f>
        <v>1320000</v>
      </c>
      <c r="J509" s="421">
        <f>J510+J513</f>
        <v>0</v>
      </c>
      <c r="K509" s="418"/>
    </row>
    <row r="510" spans="1:11" hidden="1" x14ac:dyDescent="0.25">
      <c r="A510" s="440"/>
      <c r="B510" s="423" t="s">
        <v>574</v>
      </c>
      <c r="C510" s="423" t="s">
        <v>360</v>
      </c>
      <c r="D510" s="422"/>
      <c r="E510" s="424" t="s">
        <v>361</v>
      </c>
      <c r="F510" s="425">
        <f>SUM(F511:F512)</f>
        <v>870000</v>
      </c>
      <c r="G510" s="425">
        <f>SUM(G511:G512)</f>
        <v>0</v>
      </c>
      <c r="H510" s="425">
        <f>SUM(H511:H512)</f>
        <v>870000</v>
      </c>
      <c r="I510" s="425">
        <f>SUM(I511:I512)</f>
        <v>870000</v>
      </c>
      <c r="J510" s="425">
        <f>SUM(J511:J512)</f>
        <v>0</v>
      </c>
      <c r="K510" s="422"/>
    </row>
    <row r="511" spans="1:11" hidden="1" x14ac:dyDescent="0.25">
      <c r="A511" s="439"/>
      <c r="B511" s="427" t="s">
        <v>574</v>
      </c>
      <c r="C511" s="427" t="s">
        <v>366</v>
      </c>
      <c r="D511" s="426"/>
      <c r="E511" s="428" t="s">
        <v>367</v>
      </c>
      <c r="F511" s="429">
        <v>50000</v>
      </c>
      <c r="G511" s="429">
        <v>0</v>
      </c>
      <c r="H511" s="429">
        <f>[2]Nov!I557</f>
        <v>50000</v>
      </c>
      <c r="I511" s="429">
        <f t="shared" ref="I511:I512" si="216">G511+H511</f>
        <v>50000</v>
      </c>
      <c r="J511" s="429">
        <f t="shared" ref="J511:J512" si="217">F511-I511</f>
        <v>0</v>
      </c>
      <c r="K511" s="426"/>
    </row>
    <row r="512" spans="1:11" hidden="1" x14ac:dyDescent="0.25">
      <c r="A512" s="439"/>
      <c r="B512" s="427" t="s">
        <v>574</v>
      </c>
      <c r="C512" s="427" t="s">
        <v>368</v>
      </c>
      <c r="D512" s="426"/>
      <c r="E512" s="428" t="s">
        <v>369</v>
      </c>
      <c r="F512" s="429">
        <v>820000</v>
      </c>
      <c r="G512" s="429">
        <v>0</v>
      </c>
      <c r="H512" s="429">
        <f>[2]Nov!I558</f>
        <v>820000</v>
      </c>
      <c r="I512" s="429">
        <f t="shared" si="216"/>
        <v>820000</v>
      </c>
      <c r="J512" s="429">
        <f t="shared" si="217"/>
        <v>0</v>
      </c>
      <c r="K512" s="426"/>
    </row>
    <row r="513" spans="1:11" hidden="1" x14ac:dyDescent="0.25">
      <c r="A513" s="440"/>
      <c r="B513" s="423" t="s">
        <v>574</v>
      </c>
      <c r="C513" s="423" t="s">
        <v>370</v>
      </c>
      <c r="D513" s="422"/>
      <c r="E513" s="424" t="s">
        <v>81</v>
      </c>
      <c r="F513" s="425">
        <f>SUM(F514)</f>
        <v>450000</v>
      </c>
      <c r="G513" s="425">
        <f>SUM(G514)</f>
        <v>0</v>
      </c>
      <c r="H513" s="425">
        <f>SUM(H514)</f>
        <v>450000</v>
      </c>
      <c r="I513" s="425">
        <f>SUM(I514)</f>
        <v>450000</v>
      </c>
      <c r="J513" s="425">
        <f>SUM(J514)</f>
        <v>0</v>
      </c>
      <c r="K513" s="422"/>
    </row>
    <row r="514" spans="1:11" hidden="1" x14ac:dyDescent="0.25">
      <c r="A514" s="439"/>
      <c r="B514" s="427" t="s">
        <v>574</v>
      </c>
      <c r="C514" s="427" t="s">
        <v>476</v>
      </c>
      <c r="D514" s="426"/>
      <c r="E514" s="428" t="s">
        <v>477</v>
      </c>
      <c r="F514" s="429">
        <v>450000</v>
      </c>
      <c r="G514" s="429">
        <v>0</v>
      </c>
      <c r="H514" s="429">
        <f>[2]Nov!I560</f>
        <v>450000</v>
      </c>
      <c r="I514" s="429">
        <f t="shared" ref="I514" si="218">G514+H514</f>
        <v>450000</v>
      </c>
      <c r="J514" s="429">
        <f t="shared" ref="J514" si="219">F514-I514</f>
        <v>0</v>
      </c>
      <c r="K514" s="426"/>
    </row>
    <row r="515" spans="1:11" hidden="1" x14ac:dyDescent="0.25">
      <c r="A515" s="439"/>
      <c r="B515" s="427"/>
      <c r="C515" s="427"/>
      <c r="D515" s="426"/>
      <c r="E515" s="428"/>
      <c r="F515" s="429"/>
      <c r="G515" s="429"/>
      <c r="H515" s="429"/>
      <c r="I515" s="429"/>
      <c r="J515" s="429"/>
      <c r="K515" s="426"/>
    </row>
    <row r="516" spans="1:11" x14ac:dyDescent="0.25">
      <c r="A516" s="439"/>
      <c r="B516" s="419" t="s">
        <v>576</v>
      </c>
      <c r="C516" s="438"/>
      <c r="D516" s="418"/>
      <c r="E516" s="420" t="s">
        <v>577</v>
      </c>
      <c r="F516" s="421">
        <f>F517</f>
        <v>950000</v>
      </c>
      <c r="G516" s="421">
        <f>G517</f>
        <v>0</v>
      </c>
      <c r="H516" s="421">
        <f>H517</f>
        <v>950000</v>
      </c>
      <c r="I516" s="421">
        <f>I517</f>
        <v>950000</v>
      </c>
      <c r="J516" s="421">
        <f>J517</f>
        <v>0</v>
      </c>
      <c r="K516" s="418"/>
    </row>
    <row r="517" spans="1:11" hidden="1" x14ac:dyDescent="0.25">
      <c r="A517" s="438"/>
      <c r="B517" s="419" t="s">
        <v>576</v>
      </c>
      <c r="C517" s="419" t="s">
        <v>359</v>
      </c>
      <c r="D517" s="418"/>
      <c r="E517" s="420" t="s">
        <v>67</v>
      </c>
      <c r="F517" s="421">
        <f>F518+F520</f>
        <v>950000</v>
      </c>
      <c r="G517" s="421">
        <f>G518+G520</f>
        <v>0</v>
      </c>
      <c r="H517" s="421">
        <f>H518+H520</f>
        <v>950000</v>
      </c>
      <c r="I517" s="421">
        <f>I518+I520</f>
        <v>950000</v>
      </c>
      <c r="J517" s="421">
        <f>J518+J520</f>
        <v>0</v>
      </c>
      <c r="K517" s="418"/>
    </row>
    <row r="518" spans="1:11" hidden="1" x14ac:dyDescent="0.25">
      <c r="A518" s="438"/>
      <c r="B518" s="423" t="s">
        <v>576</v>
      </c>
      <c r="C518" s="423" t="s">
        <v>360</v>
      </c>
      <c r="D518" s="422"/>
      <c r="E518" s="424" t="s">
        <v>361</v>
      </c>
      <c r="F518" s="425">
        <f>SUM(F519)</f>
        <v>500000</v>
      </c>
      <c r="G518" s="425">
        <f>SUM(G519)</f>
        <v>0</v>
      </c>
      <c r="H518" s="425">
        <f>SUM(H519)</f>
        <v>500000</v>
      </c>
      <c r="I518" s="425">
        <f>SUM(I519)</f>
        <v>500000</v>
      </c>
      <c r="J518" s="425">
        <f>SUM(J519)</f>
        <v>0</v>
      </c>
      <c r="K518" s="422"/>
    </row>
    <row r="519" spans="1:11" hidden="1" x14ac:dyDescent="0.25">
      <c r="A519" s="440"/>
      <c r="B519" s="427" t="s">
        <v>576</v>
      </c>
      <c r="C519" s="427" t="s">
        <v>368</v>
      </c>
      <c r="D519" s="426"/>
      <c r="E519" s="428" t="s">
        <v>369</v>
      </c>
      <c r="F519" s="429">
        <v>500000</v>
      </c>
      <c r="G519" s="429">
        <v>0</v>
      </c>
      <c r="H519" s="429">
        <f>[2]Nov!I565</f>
        <v>500000</v>
      </c>
      <c r="I519" s="429">
        <f t="shared" ref="I519" si="220">G519+H519</f>
        <v>500000</v>
      </c>
      <c r="J519" s="429">
        <f t="shared" ref="J519" si="221">F519-I519</f>
        <v>0</v>
      </c>
      <c r="K519" s="426"/>
    </row>
    <row r="520" spans="1:11" hidden="1" x14ac:dyDescent="0.25">
      <c r="A520" s="439"/>
      <c r="B520" s="423" t="s">
        <v>576</v>
      </c>
      <c r="C520" s="423" t="s">
        <v>370</v>
      </c>
      <c r="D520" s="422"/>
      <c r="E520" s="424" t="s">
        <v>81</v>
      </c>
      <c r="F520" s="425">
        <f>SUM(F521)</f>
        <v>450000</v>
      </c>
      <c r="G520" s="425">
        <f>SUM(G521)</f>
        <v>0</v>
      </c>
      <c r="H520" s="425">
        <f>SUM(H521)</f>
        <v>450000</v>
      </c>
      <c r="I520" s="425">
        <f>SUM(I521)</f>
        <v>450000</v>
      </c>
      <c r="J520" s="425">
        <f>SUM(J521)</f>
        <v>0</v>
      </c>
      <c r="K520" s="422"/>
    </row>
    <row r="521" spans="1:11" hidden="1" x14ac:dyDescent="0.25">
      <c r="A521" s="440"/>
      <c r="B521" s="451" t="s">
        <v>576</v>
      </c>
      <c r="C521" s="451" t="s">
        <v>476</v>
      </c>
      <c r="D521" s="452"/>
      <c r="E521" s="453" t="s">
        <v>477</v>
      </c>
      <c r="F521" s="454">
        <v>450000</v>
      </c>
      <c r="G521" s="454">
        <v>0</v>
      </c>
      <c r="H521" s="429">
        <f>[2]Nov!I567</f>
        <v>450000</v>
      </c>
      <c r="I521" s="454">
        <f t="shared" ref="I521" si="222">G521+H521</f>
        <v>450000</v>
      </c>
      <c r="J521" s="454">
        <f t="shared" ref="J521" si="223">F521-I521</f>
        <v>0</v>
      </c>
      <c r="K521" s="452"/>
    </row>
    <row r="522" spans="1:11" hidden="1" x14ac:dyDescent="0.25">
      <c r="A522" s="450"/>
      <c r="B522" s="427"/>
      <c r="C522" s="427"/>
      <c r="D522" s="426"/>
      <c r="E522" s="428"/>
      <c r="F522" s="429"/>
      <c r="G522" s="429"/>
      <c r="H522" s="429"/>
      <c r="I522" s="429"/>
      <c r="J522" s="429"/>
      <c r="K522" s="426"/>
    </row>
    <row r="523" spans="1:11" x14ac:dyDescent="0.25">
      <c r="A523" s="439"/>
      <c r="B523" s="456" t="s">
        <v>578</v>
      </c>
      <c r="C523" s="455"/>
      <c r="D523" s="457"/>
      <c r="E523" s="458" t="s">
        <v>579</v>
      </c>
      <c r="F523" s="459">
        <f>F524</f>
        <v>3233020</v>
      </c>
      <c r="G523" s="459">
        <f>G524</f>
        <v>787500</v>
      </c>
      <c r="H523" s="459">
        <f>H524</f>
        <v>2441250</v>
      </c>
      <c r="I523" s="459">
        <f>I524</f>
        <v>3228750</v>
      </c>
      <c r="J523" s="459">
        <f>J524</f>
        <v>4270</v>
      </c>
      <c r="K523" s="457"/>
    </row>
    <row r="524" spans="1:11" hidden="1" x14ac:dyDescent="0.25">
      <c r="A524" s="455"/>
      <c r="B524" s="419" t="s">
        <v>578</v>
      </c>
      <c r="C524" s="419" t="s">
        <v>359</v>
      </c>
      <c r="D524" s="418"/>
      <c r="E524" s="420" t="s">
        <v>67</v>
      </c>
      <c r="F524" s="421">
        <f>F525+F529</f>
        <v>3233020</v>
      </c>
      <c r="G524" s="421">
        <f>G525+G529</f>
        <v>787500</v>
      </c>
      <c r="H524" s="421">
        <f>H525+H529</f>
        <v>2441250</v>
      </c>
      <c r="I524" s="421">
        <f>I525+I529</f>
        <v>3228750</v>
      </c>
      <c r="J524" s="421">
        <f>J525+J529</f>
        <v>4270</v>
      </c>
      <c r="K524" s="418"/>
    </row>
    <row r="525" spans="1:11" hidden="1" x14ac:dyDescent="0.25">
      <c r="A525" s="438"/>
      <c r="B525" s="423" t="s">
        <v>578</v>
      </c>
      <c r="C525" s="423" t="s">
        <v>360</v>
      </c>
      <c r="D525" s="422"/>
      <c r="E525" s="424" t="s">
        <v>361</v>
      </c>
      <c r="F525" s="425">
        <f>SUM(F526:F528)</f>
        <v>233020</v>
      </c>
      <c r="G525" s="425">
        <f>SUM(G526:G528)</f>
        <v>37500</v>
      </c>
      <c r="H525" s="425">
        <f>SUM(H526:H528)</f>
        <v>191250</v>
      </c>
      <c r="I525" s="425">
        <f>SUM(I526:I528)</f>
        <v>228750</v>
      </c>
      <c r="J525" s="425">
        <f>SUM(J526:J528)</f>
        <v>4270</v>
      </c>
      <c r="K525" s="422"/>
    </row>
    <row r="526" spans="1:11" hidden="1" x14ac:dyDescent="0.25">
      <c r="A526" s="440"/>
      <c r="B526" s="427" t="s">
        <v>578</v>
      </c>
      <c r="C526" s="427" t="s">
        <v>362</v>
      </c>
      <c r="D526" s="426"/>
      <c r="E526" s="428" t="s">
        <v>363</v>
      </c>
      <c r="F526" s="429">
        <v>49420</v>
      </c>
      <c r="G526" s="429">
        <v>0</v>
      </c>
      <c r="H526" s="429">
        <f>[2]Nov!I572</f>
        <v>49000</v>
      </c>
      <c r="I526" s="429">
        <f t="shared" ref="I526:I528" si="224">G526+H526</f>
        <v>49000</v>
      </c>
      <c r="J526" s="429">
        <f t="shared" ref="J526:J528" si="225">F526-I526</f>
        <v>420</v>
      </c>
      <c r="K526" s="426"/>
    </row>
    <row r="527" spans="1:11" hidden="1" x14ac:dyDescent="0.25">
      <c r="A527" s="439"/>
      <c r="B527" s="427" t="s">
        <v>578</v>
      </c>
      <c r="C527" s="427" t="s">
        <v>366</v>
      </c>
      <c r="D527" s="426"/>
      <c r="E527" s="428" t="s">
        <v>367</v>
      </c>
      <c r="F527" s="429">
        <v>33600</v>
      </c>
      <c r="G527" s="429">
        <v>0</v>
      </c>
      <c r="H527" s="429">
        <f>[2]Nov!I573</f>
        <v>33500</v>
      </c>
      <c r="I527" s="429">
        <f t="shared" si="224"/>
        <v>33500</v>
      </c>
      <c r="J527" s="429">
        <f t="shared" si="225"/>
        <v>100</v>
      </c>
      <c r="K527" s="426"/>
    </row>
    <row r="528" spans="1:11" hidden="1" x14ac:dyDescent="0.25">
      <c r="A528" s="439"/>
      <c r="B528" s="427" t="s">
        <v>578</v>
      </c>
      <c r="C528" s="427" t="s">
        <v>368</v>
      </c>
      <c r="D528" s="426"/>
      <c r="E528" s="428" t="s">
        <v>369</v>
      </c>
      <c r="F528" s="429">
        <v>150000</v>
      </c>
      <c r="G528" s="429">
        <v>37500</v>
      </c>
      <c r="H528" s="429">
        <f>[2]Nov!I574</f>
        <v>108750</v>
      </c>
      <c r="I528" s="429">
        <f t="shared" si="224"/>
        <v>146250</v>
      </c>
      <c r="J528" s="429">
        <f t="shared" si="225"/>
        <v>3750</v>
      </c>
      <c r="K528" s="426"/>
    </row>
    <row r="529" spans="1:11" hidden="1" x14ac:dyDescent="0.25">
      <c r="A529" s="439"/>
      <c r="B529" s="423" t="s">
        <v>578</v>
      </c>
      <c r="C529" s="423" t="s">
        <v>370</v>
      </c>
      <c r="D529" s="422"/>
      <c r="E529" s="424" t="s">
        <v>81</v>
      </c>
      <c r="F529" s="425">
        <f>SUM(F530)</f>
        <v>3000000</v>
      </c>
      <c r="G529" s="425">
        <f>SUM(G530)</f>
        <v>750000</v>
      </c>
      <c r="H529" s="425">
        <f>SUM(H530)</f>
        <v>2250000</v>
      </c>
      <c r="I529" s="425">
        <f>SUM(I530)</f>
        <v>3000000</v>
      </c>
      <c r="J529" s="425">
        <f>SUM(J530)</f>
        <v>0</v>
      </c>
      <c r="K529" s="422"/>
    </row>
    <row r="530" spans="1:11" hidden="1" x14ac:dyDescent="0.25">
      <c r="A530" s="440"/>
      <c r="B530" s="427" t="s">
        <v>578</v>
      </c>
      <c r="C530" s="427" t="s">
        <v>398</v>
      </c>
      <c r="D530" s="426"/>
      <c r="E530" s="428" t="s">
        <v>399</v>
      </c>
      <c r="F530" s="429">
        <v>3000000</v>
      </c>
      <c r="G530" s="429">
        <v>750000</v>
      </c>
      <c r="H530" s="429">
        <f>[2]Nov!I576</f>
        <v>2250000</v>
      </c>
      <c r="I530" s="429">
        <f t="shared" ref="I530" si="226">G530+H530</f>
        <v>3000000</v>
      </c>
      <c r="J530" s="429">
        <f t="shared" ref="J530" si="227">F530-I530</f>
        <v>0</v>
      </c>
      <c r="K530" s="426"/>
    </row>
    <row r="531" spans="1:11" hidden="1" x14ac:dyDescent="0.25">
      <c r="A531" s="439"/>
      <c r="B531" s="427"/>
      <c r="C531" s="427"/>
      <c r="D531" s="426"/>
      <c r="E531" s="428"/>
      <c r="F531" s="429"/>
      <c r="G531" s="429"/>
      <c r="H531" s="429"/>
      <c r="I531" s="429"/>
      <c r="J531" s="429"/>
      <c r="K531" s="426"/>
    </row>
    <row r="532" spans="1:11" ht="38.25" x14ac:dyDescent="0.25">
      <c r="A532" s="439"/>
      <c r="B532" s="449" t="s">
        <v>580</v>
      </c>
      <c r="C532" s="438"/>
      <c r="D532" s="418"/>
      <c r="E532" s="484" t="s">
        <v>581</v>
      </c>
      <c r="F532" s="443">
        <f>F533</f>
        <v>2317000</v>
      </c>
      <c r="G532" s="443">
        <f>G533</f>
        <v>2317000</v>
      </c>
      <c r="H532" s="443">
        <f>H533</f>
        <v>0</v>
      </c>
      <c r="I532" s="443">
        <f>I533</f>
        <v>2317000</v>
      </c>
      <c r="J532" s="443">
        <f>J533</f>
        <v>0</v>
      </c>
      <c r="K532" s="418"/>
    </row>
    <row r="533" spans="1:11" hidden="1" x14ac:dyDescent="0.25">
      <c r="A533" s="438"/>
      <c r="B533" s="419" t="s">
        <v>580</v>
      </c>
      <c r="C533" s="419" t="s">
        <v>359</v>
      </c>
      <c r="D533" s="418"/>
      <c r="E533" s="420" t="s">
        <v>67</v>
      </c>
      <c r="F533" s="421">
        <f>F534+F537</f>
        <v>2317000</v>
      </c>
      <c r="G533" s="421">
        <f>G534+G537</f>
        <v>2317000</v>
      </c>
      <c r="H533" s="421">
        <f>H534+H537</f>
        <v>0</v>
      </c>
      <c r="I533" s="421">
        <f>I534+I537</f>
        <v>2317000</v>
      </c>
      <c r="J533" s="421">
        <f>J534+J537</f>
        <v>0</v>
      </c>
      <c r="K533" s="418"/>
    </row>
    <row r="534" spans="1:11" hidden="1" x14ac:dyDescent="0.25">
      <c r="A534" s="438"/>
      <c r="B534" s="423" t="s">
        <v>580</v>
      </c>
      <c r="C534" s="423" t="s">
        <v>360</v>
      </c>
      <c r="D534" s="422"/>
      <c r="E534" s="424" t="s">
        <v>361</v>
      </c>
      <c r="F534" s="425">
        <f>SUM(F535:F536)</f>
        <v>817000</v>
      </c>
      <c r="G534" s="425">
        <f>SUM(G535:G536)</f>
        <v>817000</v>
      </c>
      <c r="H534" s="425">
        <f>SUM(H535:H536)</f>
        <v>0</v>
      </c>
      <c r="I534" s="425">
        <f>SUM(I535:I536)</f>
        <v>817000</v>
      </c>
      <c r="J534" s="425">
        <f>SUM(J535:J536)</f>
        <v>0</v>
      </c>
      <c r="K534" s="422"/>
    </row>
    <row r="535" spans="1:11" hidden="1" x14ac:dyDescent="0.25">
      <c r="A535" s="440"/>
      <c r="B535" s="427" t="s">
        <v>580</v>
      </c>
      <c r="C535" s="427" t="s">
        <v>366</v>
      </c>
      <c r="D535" s="426"/>
      <c r="E535" s="428" t="s">
        <v>367</v>
      </c>
      <c r="F535" s="429">
        <v>17000</v>
      </c>
      <c r="G535" s="429">
        <v>17000</v>
      </c>
      <c r="H535" s="429">
        <f>[2]Nov!I581</f>
        <v>0</v>
      </c>
      <c r="I535" s="429">
        <f t="shared" ref="I535:I536" si="228">G535+H535</f>
        <v>17000</v>
      </c>
      <c r="J535" s="429">
        <f t="shared" ref="J535:J536" si="229">F535-I535</f>
        <v>0</v>
      </c>
      <c r="K535" s="426"/>
    </row>
    <row r="536" spans="1:11" hidden="1" x14ac:dyDescent="0.25">
      <c r="A536" s="439"/>
      <c r="B536" s="427" t="s">
        <v>580</v>
      </c>
      <c r="C536" s="427" t="s">
        <v>368</v>
      </c>
      <c r="D536" s="426"/>
      <c r="E536" s="428" t="s">
        <v>369</v>
      </c>
      <c r="F536" s="429">
        <v>800000</v>
      </c>
      <c r="G536" s="429">
        <v>800000</v>
      </c>
      <c r="H536" s="429">
        <f>[2]Nov!I582</f>
        <v>0</v>
      </c>
      <c r="I536" s="429">
        <f t="shared" si="228"/>
        <v>800000</v>
      </c>
      <c r="J536" s="429">
        <f t="shared" si="229"/>
        <v>0</v>
      </c>
      <c r="K536" s="426"/>
    </row>
    <row r="537" spans="1:11" hidden="1" x14ac:dyDescent="0.25">
      <c r="A537" s="439"/>
      <c r="B537" s="423" t="s">
        <v>580</v>
      </c>
      <c r="C537" s="423" t="s">
        <v>370</v>
      </c>
      <c r="D537" s="422"/>
      <c r="E537" s="424" t="s">
        <v>81</v>
      </c>
      <c r="F537" s="425">
        <f>SUM(F538)</f>
        <v>1500000</v>
      </c>
      <c r="G537" s="425">
        <f>SUM(G538)</f>
        <v>1500000</v>
      </c>
      <c r="H537" s="425">
        <f>SUM(H538)</f>
        <v>0</v>
      </c>
      <c r="I537" s="425">
        <f>SUM(I538)</f>
        <v>1500000</v>
      </c>
      <c r="J537" s="425">
        <f>SUM(J538)</f>
        <v>0</v>
      </c>
      <c r="K537" s="422"/>
    </row>
    <row r="538" spans="1:11" hidden="1" x14ac:dyDescent="0.25">
      <c r="A538" s="440"/>
      <c r="B538" s="427" t="s">
        <v>580</v>
      </c>
      <c r="C538" s="427" t="s">
        <v>398</v>
      </c>
      <c r="D538" s="426"/>
      <c r="E538" s="428" t="s">
        <v>399</v>
      </c>
      <c r="F538" s="429">
        <v>1500000</v>
      </c>
      <c r="G538" s="429">
        <v>1500000</v>
      </c>
      <c r="H538" s="429">
        <f>[2]Nov!I584</f>
        <v>0</v>
      </c>
      <c r="I538" s="429">
        <f t="shared" ref="I538" si="230">G538+H538</f>
        <v>1500000</v>
      </c>
      <c r="J538" s="429">
        <f t="shared" ref="J538" si="231">F538-I538</f>
        <v>0</v>
      </c>
      <c r="K538" s="426"/>
    </row>
    <row r="539" spans="1:11" hidden="1" x14ac:dyDescent="0.25">
      <c r="A539" s="483"/>
      <c r="B539" s="427"/>
      <c r="C539" s="427"/>
      <c r="D539" s="426"/>
      <c r="E539" s="428"/>
      <c r="F539" s="429"/>
      <c r="G539" s="429"/>
      <c r="H539" s="429"/>
      <c r="I539" s="429"/>
      <c r="J539" s="429"/>
      <c r="K539" s="426"/>
    </row>
    <row r="540" spans="1:11" x14ac:dyDescent="0.25">
      <c r="A540" s="485"/>
      <c r="B540" s="419" t="s">
        <v>582</v>
      </c>
      <c r="C540" s="438"/>
      <c r="D540" s="418"/>
      <c r="E540" s="420" t="s">
        <v>583</v>
      </c>
      <c r="F540" s="421">
        <f t="shared" ref="F540:J541" si="232">F541</f>
        <v>2500000</v>
      </c>
      <c r="G540" s="421">
        <f t="shared" si="232"/>
        <v>0</v>
      </c>
      <c r="H540" s="421">
        <f t="shared" si="232"/>
        <v>1620000</v>
      </c>
      <c r="I540" s="421">
        <f t="shared" si="232"/>
        <v>1620000</v>
      </c>
      <c r="J540" s="421">
        <f t="shared" si="232"/>
        <v>880000</v>
      </c>
      <c r="K540" s="418"/>
    </row>
    <row r="541" spans="1:11" ht="0.75" customHeight="1" x14ac:dyDescent="0.25">
      <c r="A541" s="438"/>
      <c r="B541" s="419" t="s">
        <v>582</v>
      </c>
      <c r="C541" s="419" t="s">
        <v>359</v>
      </c>
      <c r="D541" s="418"/>
      <c r="E541" s="420" t="s">
        <v>67</v>
      </c>
      <c r="F541" s="421">
        <f t="shared" si="232"/>
        <v>2500000</v>
      </c>
      <c r="G541" s="421">
        <f t="shared" si="232"/>
        <v>0</v>
      </c>
      <c r="H541" s="421">
        <f t="shared" si="232"/>
        <v>1620000</v>
      </c>
      <c r="I541" s="421">
        <f t="shared" si="232"/>
        <v>1620000</v>
      </c>
      <c r="J541" s="421">
        <f t="shared" si="232"/>
        <v>880000</v>
      </c>
      <c r="K541" s="418"/>
    </row>
    <row r="542" spans="1:11" hidden="1" x14ac:dyDescent="0.25">
      <c r="A542" s="438"/>
      <c r="B542" s="423" t="s">
        <v>582</v>
      </c>
      <c r="C542" s="423" t="s">
        <v>360</v>
      </c>
      <c r="D542" s="422"/>
      <c r="E542" s="424" t="s">
        <v>361</v>
      </c>
      <c r="F542" s="425">
        <f>SUM(F543:F544)</f>
        <v>2500000</v>
      </c>
      <c r="G542" s="425">
        <f>SUM(G543:G544)</f>
        <v>0</v>
      </c>
      <c r="H542" s="425">
        <f>SUM(H543:H544)</f>
        <v>1620000</v>
      </c>
      <c r="I542" s="425">
        <f>SUM(I543:I544)</f>
        <v>1620000</v>
      </c>
      <c r="J542" s="425">
        <f>SUM(J543:J544)</f>
        <v>880000</v>
      </c>
      <c r="K542" s="422"/>
    </row>
    <row r="543" spans="1:11" hidden="1" x14ac:dyDescent="0.25">
      <c r="A543" s="440"/>
      <c r="B543" s="427" t="s">
        <v>582</v>
      </c>
      <c r="C543" s="427" t="s">
        <v>366</v>
      </c>
      <c r="D543" s="426"/>
      <c r="E543" s="428" t="s">
        <v>367</v>
      </c>
      <c r="F543" s="429">
        <v>625000</v>
      </c>
      <c r="G543" s="429">
        <v>0</v>
      </c>
      <c r="H543" s="429">
        <f>[2]Nov!I591</f>
        <v>0</v>
      </c>
      <c r="I543" s="429">
        <f t="shared" ref="I543:I544" si="233">G543+H543</f>
        <v>0</v>
      </c>
      <c r="J543" s="429">
        <f t="shared" ref="J543:J544" si="234">F543-I543</f>
        <v>625000</v>
      </c>
      <c r="K543" s="426"/>
    </row>
    <row r="544" spans="1:11" hidden="1" x14ac:dyDescent="0.25">
      <c r="A544" s="439"/>
      <c r="B544" s="427" t="s">
        <v>582</v>
      </c>
      <c r="C544" s="427" t="s">
        <v>368</v>
      </c>
      <c r="D544" s="426"/>
      <c r="E544" s="428" t="s">
        <v>369</v>
      </c>
      <c r="F544" s="429">
        <v>1875000</v>
      </c>
      <c r="G544" s="429">
        <v>0</v>
      </c>
      <c r="H544" s="429">
        <f>[2]Nov!I592</f>
        <v>1620000</v>
      </c>
      <c r="I544" s="429">
        <f t="shared" si="233"/>
        <v>1620000</v>
      </c>
      <c r="J544" s="429">
        <f t="shared" si="234"/>
        <v>255000</v>
      </c>
      <c r="K544" s="426"/>
    </row>
    <row r="545" spans="1:11" hidden="1" x14ac:dyDescent="0.25">
      <c r="A545" s="439"/>
      <c r="B545" s="427"/>
      <c r="C545" s="427"/>
      <c r="D545" s="426"/>
      <c r="E545" s="428"/>
      <c r="F545" s="429"/>
      <c r="G545" s="429"/>
      <c r="H545" s="429"/>
      <c r="I545" s="429"/>
      <c r="J545" s="429"/>
      <c r="K545" s="426"/>
    </row>
    <row r="546" spans="1:11" x14ac:dyDescent="0.25">
      <c r="A546" s="439"/>
      <c r="B546" s="419" t="s">
        <v>584</v>
      </c>
      <c r="C546" s="438"/>
      <c r="D546" s="418"/>
      <c r="E546" s="420" t="s">
        <v>585</v>
      </c>
      <c r="F546" s="421">
        <f>F547</f>
        <v>1300000</v>
      </c>
      <c r="G546" s="421">
        <f>G547</f>
        <v>0</v>
      </c>
      <c r="H546" s="421">
        <f>H547</f>
        <v>1300000</v>
      </c>
      <c r="I546" s="421">
        <f>I547</f>
        <v>1300000</v>
      </c>
      <c r="J546" s="421">
        <f>J547</f>
        <v>0</v>
      </c>
      <c r="K546" s="418"/>
    </row>
    <row r="547" spans="1:11" hidden="1" x14ac:dyDescent="0.25">
      <c r="A547" s="438"/>
      <c r="B547" s="419" t="s">
        <v>584</v>
      </c>
      <c r="C547" s="419" t="s">
        <v>359</v>
      </c>
      <c r="D547" s="418"/>
      <c r="E547" s="420" t="s">
        <v>67</v>
      </c>
      <c r="F547" s="421">
        <f>F548+F551</f>
        <v>1300000</v>
      </c>
      <c r="G547" s="421">
        <f>G548+G551</f>
        <v>0</v>
      </c>
      <c r="H547" s="421">
        <f>H548+H551</f>
        <v>1300000</v>
      </c>
      <c r="I547" s="421">
        <f>I548+I551</f>
        <v>1300000</v>
      </c>
      <c r="J547" s="421">
        <f>J548+J551</f>
        <v>0</v>
      </c>
      <c r="K547" s="418"/>
    </row>
    <row r="548" spans="1:11" hidden="1" x14ac:dyDescent="0.25">
      <c r="A548" s="438"/>
      <c r="B548" s="423" t="s">
        <v>584</v>
      </c>
      <c r="C548" s="423" t="s">
        <v>360</v>
      </c>
      <c r="D548" s="422"/>
      <c r="E548" s="424" t="s">
        <v>361</v>
      </c>
      <c r="F548" s="425">
        <f>SUM(F549:F550)</f>
        <v>850000</v>
      </c>
      <c r="G548" s="425">
        <f>SUM(G549:G550)</f>
        <v>0</v>
      </c>
      <c r="H548" s="425">
        <f>SUM(H549:H550)</f>
        <v>850000</v>
      </c>
      <c r="I548" s="425">
        <f>SUM(I549:I550)</f>
        <v>850000</v>
      </c>
      <c r="J548" s="425">
        <f>SUM(J549:J550)</f>
        <v>0</v>
      </c>
      <c r="K548" s="422"/>
    </row>
    <row r="549" spans="1:11" hidden="1" x14ac:dyDescent="0.25">
      <c r="A549" s="440"/>
      <c r="B549" s="427" t="s">
        <v>584</v>
      </c>
      <c r="C549" s="427" t="s">
        <v>366</v>
      </c>
      <c r="D549" s="426"/>
      <c r="E549" s="428" t="s">
        <v>367</v>
      </c>
      <c r="F549" s="429">
        <v>50000</v>
      </c>
      <c r="G549" s="429">
        <v>0</v>
      </c>
      <c r="H549" s="429">
        <f>[2]Nov!I597</f>
        <v>50000</v>
      </c>
      <c r="I549" s="429">
        <f t="shared" ref="I549:I550" si="235">G549+H549</f>
        <v>50000</v>
      </c>
      <c r="J549" s="429">
        <f t="shared" ref="J549:J550" si="236">F549-I549</f>
        <v>0</v>
      </c>
      <c r="K549" s="426"/>
    </row>
    <row r="550" spans="1:11" hidden="1" x14ac:dyDescent="0.25">
      <c r="A550" s="439"/>
      <c r="B550" s="427" t="s">
        <v>584</v>
      </c>
      <c r="C550" s="427" t="s">
        <v>368</v>
      </c>
      <c r="D550" s="426"/>
      <c r="E550" s="428" t="s">
        <v>369</v>
      </c>
      <c r="F550" s="429">
        <v>800000</v>
      </c>
      <c r="G550" s="429">
        <v>0</v>
      </c>
      <c r="H550" s="429">
        <f>[2]Nov!I598</f>
        <v>800000</v>
      </c>
      <c r="I550" s="429">
        <f t="shared" si="235"/>
        <v>800000</v>
      </c>
      <c r="J550" s="429">
        <f t="shared" si="236"/>
        <v>0</v>
      </c>
      <c r="K550" s="426"/>
    </row>
    <row r="551" spans="1:11" hidden="1" x14ac:dyDescent="0.25">
      <c r="A551" s="439"/>
      <c r="B551" s="423" t="s">
        <v>584</v>
      </c>
      <c r="C551" s="423" t="s">
        <v>370</v>
      </c>
      <c r="D551" s="422"/>
      <c r="E551" s="424" t="s">
        <v>81</v>
      </c>
      <c r="F551" s="425">
        <f>SUM(F552)</f>
        <v>450000</v>
      </c>
      <c r="G551" s="425">
        <f>SUM(G552)</f>
        <v>0</v>
      </c>
      <c r="H551" s="425">
        <f>SUM(H552)</f>
        <v>450000</v>
      </c>
      <c r="I551" s="425">
        <f>SUM(I552)</f>
        <v>450000</v>
      </c>
      <c r="J551" s="425">
        <f>SUM(J552)</f>
        <v>0</v>
      </c>
      <c r="K551" s="422"/>
    </row>
    <row r="552" spans="1:11" hidden="1" x14ac:dyDescent="0.25">
      <c r="A552" s="440"/>
      <c r="B552" s="427" t="s">
        <v>584</v>
      </c>
      <c r="C552" s="427" t="s">
        <v>476</v>
      </c>
      <c r="D552" s="426"/>
      <c r="E552" s="428" t="s">
        <v>477</v>
      </c>
      <c r="F552" s="429">
        <v>450000</v>
      </c>
      <c r="G552" s="429">
        <v>0</v>
      </c>
      <c r="H552" s="429">
        <f>[2]Nov!I600</f>
        <v>450000</v>
      </c>
      <c r="I552" s="429">
        <f t="shared" ref="I552" si="237">G552+H552</f>
        <v>450000</v>
      </c>
      <c r="J552" s="429">
        <f t="shared" ref="J552" si="238">F552-I552</f>
        <v>0</v>
      </c>
      <c r="K552" s="426"/>
    </row>
    <row r="553" spans="1:11" hidden="1" x14ac:dyDescent="0.25">
      <c r="A553" s="439"/>
      <c r="B553" s="427"/>
      <c r="C553" s="427"/>
      <c r="D553" s="426"/>
      <c r="E553" s="428"/>
      <c r="F553" s="429"/>
      <c r="G553" s="429"/>
      <c r="H553" s="429"/>
      <c r="I553" s="429"/>
      <c r="J553" s="429"/>
      <c r="K553" s="426"/>
    </row>
    <row r="554" spans="1:11" ht="14.25" customHeight="1" x14ac:dyDescent="0.25">
      <c r="A554" s="439"/>
      <c r="B554" s="419" t="s">
        <v>586</v>
      </c>
      <c r="C554" s="438"/>
      <c r="D554" s="418"/>
      <c r="E554" s="420" t="s">
        <v>587</v>
      </c>
      <c r="F554" s="421">
        <f t="shared" ref="F554:J555" si="239">F555</f>
        <v>1472500</v>
      </c>
      <c r="G554" s="421">
        <f t="shared" si="239"/>
        <v>295000</v>
      </c>
      <c r="H554" s="421">
        <f t="shared" si="239"/>
        <v>1148250</v>
      </c>
      <c r="I554" s="421">
        <f t="shared" si="239"/>
        <v>1443250</v>
      </c>
      <c r="J554" s="421">
        <f t="shared" si="239"/>
        <v>29250</v>
      </c>
      <c r="K554" s="418"/>
    </row>
    <row r="555" spans="1:11" hidden="1" x14ac:dyDescent="0.25">
      <c r="A555" s="438"/>
      <c r="B555" s="419" t="s">
        <v>586</v>
      </c>
      <c r="C555" s="419" t="s">
        <v>359</v>
      </c>
      <c r="D555" s="418"/>
      <c r="E555" s="420" t="s">
        <v>67</v>
      </c>
      <c r="F555" s="421">
        <f t="shared" si="239"/>
        <v>1472500</v>
      </c>
      <c r="G555" s="421">
        <f t="shared" si="239"/>
        <v>295000</v>
      </c>
      <c r="H555" s="421">
        <f t="shared" si="239"/>
        <v>1148250</v>
      </c>
      <c r="I555" s="421">
        <f t="shared" si="239"/>
        <v>1443250</v>
      </c>
      <c r="J555" s="421">
        <f t="shared" si="239"/>
        <v>29250</v>
      </c>
      <c r="K555" s="418"/>
    </row>
    <row r="556" spans="1:11" hidden="1" x14ac:dyDescent="0.25">
      <c r="A556" s="438"/>
      <c r="B556" s="423" t="s">
        <v>586</v>
      </c>
      <c r="C556" s="423" t="s">
        <v>360</v>
      </c>
      <c r="D556" s="422"/>
      <c r="E556" s="424" t="s">
        <v>361</v>
      </c>
      <c r="F556" s="425">
        <f>SUM(F557:F559)</f>
        <v>1472500</v>
      </c>
      <c r="G556" s="425">
        <f>SUM(G557:G559)</f>
        <v>295000</v>
      </c>
      <c r="H556" s="425">
        <f>SUM(H557:H559)</f>
        <v>1148250</v>
      </c>
      <c r="I556" s="425">
        <f>SUM(I557:I559)</f>
        <v>1443250</v>
      </c>
      <c r="J556" s="425">
        <f>SUM(J557:J559)</f>
        <v>29250</v>
      </c>
      <c r="K556" s="422"/>
    </row>
    <row r="557" spans="1:11" hidden="1" x14ac:dyDescent="0.25">
      <c r="A557" s="440"/>
      <c r="B557" s="427" t="s">
        <v>586</v>
      </c>
      <c r="C557" s="427" t="s">
        <v>362</v>
      </c>
      <c r="D557" s="426"/>
      <c r="E557" s="428" t="s">
        <v>363</v>
      </c>
      <c r="F557" s="429">
        <v>200000</v>
      </c>
      <c r="G557" s="429">
        <v>0</v>
      </c>
      <c r="H557" s="429">
        <f>[2]Nov!I605</f>
        <v>200000</v>
      </c>
      <c r="I557" s="429">
        <f t="shared" ref="I557:I559" si="240">G557+H557</f>
        <v>200000</v>
      </c>
      <c r="J557" s="429">
        <f t="shared" ref="J557:J559" si="241">F557-I557</f>
        <v>0</v>
      </c>
      <c r="K557" s="426"/>
    </row>
    <row r="558" spans="1:11" hidden="1" x14ac:dyDescent="0.25">
      <c r="A558" s="439"/>
      <c r="B558" s="427" t="s">
        <v>586</v>
      </c>
      <c r="C558" s="427" t="s">
        <v>366</v>
      </c>
      <c r="D558" s="426"/>
      <c r="E558" s="428" t="s">
        <v>367</v>
      </c>
      <c r="F558" s="429">
        <v>200000</v>
      </c>
      <c r="G558" s="429">
        <v>100000</v>
      </c>
      <c r="H558" s="429">
        <f>[2]Nov!I606</f>
        <v>100000</v>
      </c>
      <c r="I558" s="429">
        <f t="shared" si="240"/>
        <v>200000</v>
      </c>
      <c r="J558" s="429">
        <f t="shared" si="241"/>
        <v>0</v>
      </c>
      <c r="K558" s="426"/>
    </row>
    <row r="559" spans="1:11" hidden="1" x14ac:dyDescent="0.25">
      <c r="A559" s="439"/>
      <c r="B559" s="451" t="s">
        <v>586</v>
      </c>
      <c r="C559" s="451" t="s">
        <v>368</v>
      </c>
      <c r="D559" s="452"/>
      <c r="E559" s="453" t="s">
        <v>369</v>
      </c>
      <c r="F559" s="454">
        <v>1072500</v>
      </c>
      <c r="G559" s="454">
        <v>195000</v>
      </c>
      <c r="H559" s="429">
        <f>[2]Nov!I607</f>
        <v>848250</v>
      </c>
      <c r="I559" s="454">
        <f t="shared" si="240"/>
        <v>1043250</v>
      </c>
      <c r="J559" s="454">
        <f t="shared" si="241"/>
        <v>29250</v>
      </c>
      <c r="K559" s="452"/>
    </row>
    <row r="560" spans="1:11" hidden="1" x14ac:dyDescent="0.25">
      <c r="A560" s="450"/>
      <c r="B560" s="427"/>
      <c r="C560" s="427"/>
      <c r="D560" s="426"/>
      <c r="E560" s="428"/>
      <c r="F560" s="429"/>
      <c r="G560" s="429"/>
      <c r="H560" s="429"/>
      <c r="I560" s="429"/>
      <c r="J560" s="429"/>
      <c r="K560" s="426"/>
    </row>
    <row r="561" spans="1:11" ht="14.25" customHeight="1" x14ac:dyDescent="0.25">
      <c r="A561" s="439"/>
      <c r="B561" s="456" t="s">
        <v>588</v>
      </c>
      <c r="C561" s="455"/>
      <c r="D561" s="457"/>
      <c r="E561" s="458" t="s">
        <v>589</v>
      </c>
      <c r="F561" s="459">
        <f t="shared" ref="F561:J562" si="242">F562</f>
        <v>2180000</v>
      </c>
      <c r="G561" s="459">
        <f t="shared" si="242"/>
        <v>330000</v>
      </c>
      <c r="H561" s="459">
        <f t="shared" si="242"/>
        <v>1532000</v>
      </c>
      <c r="I561" s="459">
        <f t="shared" si="242"/>
        <v>1862000</v>
      </c>
      <c r="J561" s="459">
        <f t="shared" si="242"/>
        <v>318000</v>
      </c>
      <c r="K561" s="457"/>
    </row>
    <row r="562" spans="1:11" hidden="1" x14ac:dyDescent="0.25">
      <c r="A562" s="455"/>
      <c r="B562" s="419" t="s">
        <v>588</v>
      </c>
      <c r="C562" s="419" t="s">
        <v>359</v>
      </c>
      <c r="D562" s="418"/>
      <c r="E562" s="420" t="s">
        <v>67</v>
      </c>
      <c r="F562" s="421">
        <f t="shared" si="242"/>
        <v>2180000</v>
      </c>
      <c r="G562" s="421">
        <f t="shared" si="242"/>
        <v>330000</v>
      </c>
      <c r="H562" s="421">
        <f t="shared" si="242"/>
        <v>1532000</v>
      </c>
      <c r="I562" s="421">
        <f t="shared" si="242"/>
        <v>1862000</v>
      </c>
      <c r="J562" s="421">
        <f t="shared" si="242"/>
        <v>318000</v>
      </c>
      <c r="K562" s="418"/>
    </row>
    <row r="563" spans="1:11" hidden="1" x14ac:dyDescent="0.25">
      <c r="A563" s="438"/>
      <c r="B563" s="423" t="s">
        <v>588</v>
      </c>
      <c r="C563" s="423" t="s">
        <v>360</v>
      </c>
      <c r="D563" s="422"/>
      <c r="E563" s="424" t="s">
        <v>361</v>
      </c>
      <c r="F563" s="425">
        <f>SUM(F564:F566)</f>
        <v>2180000</v>
      </c>
      <c r="G563" s="425">
        <f>SUM(G564:G566)</f>
        <v>330000</v>
      </c>
      <c r="H563" s="425">
        <f>SUM(H564:H566)</f>
        <v>1532000</v>
      </c>
      <c r="I563" s="425">
        <f>SUM(I564:I566)</f>
        <v>1862000</v>
      </c>
      <c r="J563" s="425">
        <f>SUM(J564:J566)</f>
        <v>318000</v>
      </c>
      <c r="K563" s="422"/>
    </row>
    <row r="564" spans="1:11" hidden="1" x14ac:dyDescent="0.25">
      <c r="A564" s="440"/>
      <c r="B564" s="427" t="s">
        <v>588</v>
      </c>
      <c r="C564" s="427" t="s">
        <v>362</v>
      </c>
      <c r="D564" s="426"/>
      <c r="E564" s="428" t="s">
        <v>363</v>
      </c>
      <c r="F564" s="429">
        <v>100000</v>
      </c>
      <c r="G564" s="429">
        <v>0</v>
      </c>
      <c r="H564" s="429">
        <f>[2]Nov!I612</f>
        <v>100000</v>
      </c>
      <c r="I564" s="429">
        <f t="shared" ref="I564:I566" si="243">G564+H564</f>
        <v>100000</v>
      </c>
      <c r="J564" s="429">
        <f t="shared" ref="J564:J566" si="244">F564-I564</f>
        <v>0</v>
      </c>
      <c r="K564" s="426"/>
    </row>
    <row r="565" spans="1:11" hidden="1" x14ac:dyDescent="0.25">
      <c r="A565" s="439"/>
      <c r="B565" s="427" t="s">
        <v>588</v>
      </c>
      <c r="C565" s="427" t="s">
        <v>366</v>
      </c>
      <c r="D565" s="426"/>
      <c r="E565" s="428" t="s">
        <v>367</v>
      </c>
      <c r="F565" s="429">
        <v>100000</v>
      </c>
      <c r="G565" s="429">
        <v>0</v>
      </c>
      <c r="H565" s="429">
        <f>[2]Nov!I613</f>
        <v>100000</v>
      </c>
      <c r="I565" s="429">
        <f t="shared" si="243"/>
        <v>100000</v>
      </c>
      <c r="J565" s="429">
        <f t="shared" si="244"/>
        <v>0</v>
      </c>
      <c r="K565" s="426"/>
    </row>
    <row r="566" spans="1:11" hidden="1" x14ac:dyDescent="0.25">
      <c r="A566" s="439"/>
      <c r="B566" s="427" t="s">
        <v>588</v>
      </c>
      <c r="C566" s="427" t="s">
        <v>368</v>
      </c>
      <c r="D566" s="426"/>
      <c r="E566" s="428" t="s">
        <v>369</v>
      </c>
      <c r="F566" s="429">
        <v>1980000</v>
      </c>
      <c r="G566" s="429">
        <v>330000</v>
      </c>
      <c r="H566" s="429">
        <f>[2]Nov!I614</f>
        <v>1332000</v>
      </c>
      <c r="I566" s="429">
        <f t="shared" si="243"/>
        <v>1662000</v>
      </c>
      <c r="J566" s="429">
        <f t="shared" si="244"/>
        <v>318000</v>
      </c>
      <c r="K566" s="426"/>
    </row>
    <row r="567" spans="1:11" hidden="1" x14ac:dyDescent="0.25">
      <c r="A567" s="439"/>
      <c r="B567" s="427"/>
      <c r="C567" s="427"/>
      <c r="D567" s="426"/>
      <c r="E567" s="428"/>
      <c r="F567" s="429"/>
      <c r="G567" s="429"/>
      <c r="H567" s="429"/>
      <c r="I567" s="429"/>
      <c r="J567" s="429"/>
      <c r="K567" s="426"/>
    </row>
    <row r="568" spans="1:11" x14ac:dyDescent="0.25">
      <c r="A568" s="439"/>
      <c r="B568" s="419">
        <v>4</v>
      </c>
      <c r="C568" s="438"/>
      <c r="D568" s="420" t="s">
        <v>590</v>
      </c>
      <c r="E568" s="418"/>
      <c r="F568" s="421">
        <f>F569+F591+F601+F634+F644</f>
        <v>35902300</v>
      </c>
      <c r="G568" s="421">
        <f>G569+G591+G601+G634+G644</f>
        <v>18565000</v>
      </c>
      <c r="H568" s="421">
        <f>H569+H591+H601+H634+H644</f>
        <v>17202250</v>
      </c>
      <c r="I568" s="421">
        <f>I569+I591+I601+I634+I644</f>
        <v>35767250</v>
      </c>
      <c r="J568" s="421">
        <f>J569+J591+J601+J634+J644</f>
        <v>135050</v>
      </c>
      <c r="K568" s="418"/>
    </row>
    <row r="569" spans="1:11" ht="14.25" customHeight="1" x14ac:dyDescent="0.25">
      <c r="A569" s="438"/>
      <c r="B569" s="419" t="s">
        <v>591</v>
      </c>
      <c r="C569" s="438"/>
      <c r="D569" s="420" t="s">
        <v>115</v>
      </c>
      <c r="E569" s="418"/>
      <c r="F569" s="421">
        <f>F570+F580</f>
        <v>5177500</v>
      </c>
      <c r="G569" s="421">
        <f>G570+G580</f>
        <v>0</v>
      </c>
      <c r="H569" s="421">
        <f>H570+H580</f>
        <v>5042500</v>
      </c>
      <c r="I569" s="421">
        <f>I570+I580</f>
        <v>5042500</v>
      </c>
      <c r="J569" s="421">
        <f>J570+J580</f>
        <v>135000</v>
      </c>
      <c r="K569" s="418"/>
    </row>
    <row r="570" spans="1:11" hidden="1" x14ac:dyDescent="0.25">
      <c r="A570" s="438"/>
      <c r="B570" s="419" t="s">
        <v>592</v>
      </c>
      <c r="C570" s="438"/>
      <c r="D570" s="418"/>
      <c r="E570" s="420" t="s">
        <v>593</v>
      </c>
      <c r="F570" s="421">
        <f>F571</f>
        <v>0</v>
      </c>
      <c r="G570" s="421">
        <f>G571</f>
        <v>0</v>
      </c>
      <c r="H570" s="421">
        <f>H571</f>
        <v>0</v>
      </c>
      <c r="I570" s="421">
        <f>I571</f>
        <v>0</v>
      </c>
      <c r="J570" s="421">
        <f>J571</f>
        <v>0</v>
      </c>
      <c r="K570" s="418"/>
    </row>
    <row r="571" spans="1:11" hidden="1" x14ac:dyDescent="0.25">
      <c r="A571" s="438"/>
      <c r="B571" s="419" t="s">
        <v>592</v>
      </c>
      <c r="C571" s="419" t="s">
        <v>359</v>
      </c>
      <c r="D571" s="418"/>
      <c r="E571" s="420" t="s">
        <v>67</v>
      </c>
      <c r="F571" s="421">
        <f>F572+F575+F577</f>
        <v>0</v>
      </c>
      <c r="G571" s="421">
        <f>G572+G575+G577</f>
        <v>0</v>
      </c>
      <c r="H571" s="421">
        <f>H572+H575+H577</f>
        <v>0</v>
      </c>
      <c r="I571" s="421">
        <f>I572+I575+I577</f>
        <v>0</v>
      </c>
      <c r="J571" s="421">
        <f>J572+J575+J577</f>
        <v>0</v>
      </c>
      <c r="K571" s="418"/>
    </row>
    <row r="572" spans="1:11" hidden="1" x14ac:dyDescent="0.25">
      <c r="A572" s="438"/>
      <c r="B572" s="423" t="s">
        <v>592</v>
      </c>
      <c r="C572" s="423" t="s">
        <v>360</v>
      </c>
      <c r="D572" s="422"/>
      <c r="E572" s="424" t="s">
        <v>361</v>
      </c>
      <c r="F572" s="425">
        <f>SUM(F573:F574)</f>
        <v>0</v>
      </c>
      <c r="G572" s="425">
        <f>SUM(G573:G574)</f>
        <v>0</v>
      </c>
      <c r="H572" s="425">
        <f>SUM(H573:H574)</f>
        <v>0</v>
      </c>
      <c r="I572" s="425">
        <f>SUM(I573:I574)</f>
        <v>0</v>
      </c>
      <c r="J572" s="425">
        <f>SUM(J573:J574)</f>
        <v>0</v>
      </c>
      <c r="K572" s="422"/>
    </row>
    <row r="573" spans="1:11" hidden="1" x14ac:dyDescent="0.25">
      <c r="A573" s="440"/>
      <c r="B573" s="427" t="s">
        <v>592</v>
      </c>
      <c r="C573" s="427" t="s">
        <v>366</v>
      </c>
      <c r="D573" s="426"/>
      <c r="E573" s="428" t="s">
        <v>367</v>
      </c>
      <c r="F573" s="429">
        <v>0</v>
      </c>
      <c r="G573" s="429">
        <v>0</v>
      </c>
      <c r="H573" s="429">
        <f>[2]Nov!I621</f>
        <v>0</v>
      </c>
      <c r="I573" s="429">
        <f t="shared" ref="I573:I574" si="245">G573+H573</f>
        <v>0</v>
      </c>
      <c r="J573" s="429">
        <f t="shared" ref="J573:J574" si="246">F573-I573</f>
        <v>0</v>
      </c>
      <c r="K573" s="426"/>
    </row>
    <row r="574" spans="1:11" hidden="1" x14ac:dyDescent="0.25">
      <c r="A574" s="439"/>
      <c r="B574" s="427" t="s">
        <v>592</v>
      </c>
      <c r="C574" s="427" t="s">
        <v>368</v>
      </c>
      <c r="D574" s="426"/>
      <c r="E574" s="428" t="s">
        <v>369</v>
      </c>
      <c r="F574" s="429">
        <v>0</v>
      </c>
      <c r="G574" s="429">
        <v>0</v>
      </c>
      <c r="H574" s="429">
        <f>[2]Nov!I622</f>
        <v>0</v>
      </c>
      <c r="I574" s="429">
        <f t="shared" si="245"/>
        <v>0</v>
      </c>
      <c r="J574" s="429">
        <f t="shared" si="246"/>
        <v>0</v>
      </c>
      <c r="K574" s="426"/>
    </row>
    <row r="575" spans="1:11" hidden="1" x14ac:dyDescent="0.25">
      <c r="A575" s="439"/>
      <c r="B575" s="423" t="s">
        <v>592</v>
      </c>
      <c r="C575" s="423" t="s">
        <v>370</v>
      </c>
      <c r="D575" s="422"/>
      <c r="E575" s="424" t="s">
        <v>81</v>
      </c>
      <c r="F575" s="425">
        <f>SUM(F576)</f>
        <v>0</v>
      </c>
      <c r="G575" s="425">
        <f>SUM(G576)</f>
        <v>0</v>
      </c>
      <c r="H575" s="425">
        <f>SUM(H576)</f>
        <v>0</v>
      </c>
      <c r="I575" s="425">
        <f>SUM(I576)</f>
        <v>0</v>
      </c>
      <c r="J575" s="425">
        <f>SUM(J576)</f>
        <v>0</v>
      </c>
      <c r="K575" s="422"/>
    </row>
    <row r="576" spans="1:11" hidden="1" x14ac:dyDescent="0.25">
      <c r="A576" s="440"/>
      <c r="B576" s="427" t="s">
        <v>592</v>
      </c>
      <c r="C576" s="427" t="s">
        <v>436</v>
      </c>
      <c r="D576" s="426"/>
      <c r="E576" s="428" t="s">
        <v>437</v>
      </c>
      <c r="F576" s="429">
        <v>0</v>
      </c>
      <c r="G576" s="429">
        <v>0</v>
      </c>
      <c r="H576" s="429">
        <f>[2]Nov!I624</f>
        <v>0</v>
      </c>
      <c r="I576" s="429">
        <f t="shared" ref="I576" si="247">G576+H576</f>
        <v>0</v>
      </c>
      <c r="J576" s="429">
        <f t="shared" ref="J576" si="248">F576-I576</f>
        <v>0</v>
      </c>
      <c r="K576" s="426"/>
    </row>
    <row r="577" spans="1:11" hidden="1" x14ac:dyDescent="0.25">
      <c r="A577" s="439"/>
      <c r="B577" s="423" t="s">
        <v>592</v>
      </c>
      <c r="C577" s="423" t="s">
        <v>460</v>
      </c>
      <c r="D577" s="422"/>
      <c r="E577" s="424" t="s">
        <v>461</v>
      </c>
      <c r="F577" s="425">
        <f>SUM(F578)</f>
        <v>0</v>
      </c>
      <c r="G577" s="425">
        <f>SUM(G578)</f>
        <v>0</v>
      </c>
      <c r="H577" s="425">
        <f>SUM(H578)</f>
        <v>0</v>
      </c>
      <c r="I577" s="425">
        <f>SUM(I578)</f>
        <v>0</v>
      </c>
      <c r="J577" s="425">
        <f>SUM(J578)</f>
        <v>0</v>
      </c>
      <c r="K577" s="422"/>
    </row>
    <row r="578" spans="1:11" hidden="1" x14ac:dyDescent="0.25">
      <c r="A578" s="440"/>
      <c r="B578" s="427" t="s">
        <v>592</v>
      </c>
      <c r="C578" s="427" t="s">
        <v>594</v>
      </c>
      <c r="D578" s="426"/>
      <c r="E578" s="428" t="s">
        <v>595</v>
      </c>
      <c r="F578" s="429">
        <v>0</v>
      </c>
      <c r="G578" s="429">
        <v>0</v>
      </c>
      <c r="H578" s="429">
        <f>[2]Nov!I626</f>
        <v>0</v>
      </c>
      <c r="I578" s="429">
        <f t="shared" ref="I578" si="249">G578+H578</f>
        <v>0</v>
      </c>
      <c r="J578" s="429">
        <f t="shared" ref="J578" si="250">F578-I578</f>
        <v>0</v>
      </c>
      <c r="K578" s="426"/>
    </row>
    <row r="579" spans="1:11" hidden="1" x14ac:dyDescent="0.25">
      <c r="A579" s="483"/>
      <c r="B579" s="427"/>
      <c r="C579" s="427"/>
      <c r="D579" s="426"/>
      <c r="E579" s="428"/>
      <c r="F579" s="429"/>
      <c r="G579" s="429"/>
      <c r="H579" s="429"/>
      <c r="I579" s="429"/>
      <c r="J579" s="429"/>
      <c r="K579" s="426"/>
    </row>
    <row r="580" spans="1:11" ht="14.25" customHeight="1" x14ac:dyDescent="0.25">
      <c r="A580" s="485"/>
      <c r="B580" s="419" t="s">
        <v>596</v>
      </c>
      <c r="C580" s="438"/>
      <c r="D580" s="418"/>
      <c r="E580" s="420" t="s">
        <v>662</v>
      </c>
      <c r="F580" s="421">
        <f>F581</f>
        <v>5177500</v>
      </c>
      <c r="G580" s="421">
        <f>G581</f>
        <v>0</v>
      </c>
      <c r="H580" s="421">
        <f>H581</f>
        <v>5042500</v>
      </c>
      <c r="I580" s="421">
        <f>I581</f>
        <v>5042500</v>
      </c>
      <c r="J580" s="421">
        <f>J581</f>
        <v>135000</v>
      </c>
      <c r="K580" s="418"/>
    </row>
    <row r="581" spans="1:11" hidden="1" x14ac:dyDescent="0.25">
      <c r="A581" s="438"/>
      <c r="B581" s="419" t="s">
        <v>596</v>
      </c>
      <c r="C581" s="419" t="s">
        <v>359</v>
      </c>
      <c r="D581" s="418"/>
      <c r="E581" s="420" t="s">
        <v>67</v>
      </c>
      <c r="F581" s="421">
        <f>F582+F587</f>
        <v>5177500</v>
      </c>
      <c r="G581" s="421">
        <f>G582+G587</f>
        <v>0</v>
      </c>
      <c r="H581" s="421">
        <f>H582+H587</f>
        <v>5042500</v>
      </c>
      <c r="I581" s="421">
        <f>I582+I587</f>
        <v>5042500</v>
      </c>
      <c r="J581" s="421">
        <f>J582+J587</f>
        <v>135000</v>
      </c>
      <c r="K581" s="418"/>
    </row>
    <row r="582" spans="1:11" hidden="1" x14ac:dyDescent="0.25">
      <c r="A582" s="438"/>
      <c r="B582" s="423" t="s">
        <v>596</v>
      </c>
      <c r="C582" s="423" t="s">
        <v>360</v>
      </c>
      <c r="D582" s="422"/>
      <c r="E582" s="424" t="s">
        <v>361</v>
      </c>
      <c r="F582" s="425">
        <f>SUM(F583:F586)</f>
        <v>4337500</v>
      </c>
      <c r="G582" s="425">
        <f>SUM(G583:G586)</f>
        <v>0</v>
      </c>
      <c r="H582" s="425">
        <f>SUM(H583:H586)</f>
        <v>4202500</v>
      </c>
      <c r="I582" s="425">
        <f>SUM(I583:I586)</f>
        <v>4202500</v>
      </c>
      <c r="J582" s="425">
        <f>SUM(J583:J586)</f>
        <v>135000</v>
      </c>
      <c r="K582" s="422"/>
    </row>
    <row r="583" spans="1:11" hidden="1" x14ac:dyDescent="0.25">
      <c r="A583" s="440"/>
      <c r="B583" s="427" t="s">
        <v>596</v>
      </c>
      <c r="C583" s="427" t="s">
        <v>366</v>
      </c>
      <c r="D583" s="426"/>
      <c r="E583" s="428" t="s">
        <v>367</v>
      </c>
      <c r="F583" s="429">
        <v>240000</v>
      </c>
      <c r="G583" s="429">
        <v>0</v>
      </c>
      <c r="H583" s="429">
        <f>[2]Nov!I633</f>
        <v>240000</v>
      </c>
      <c r="I583" s="429">
        <f t="shared" ref="I583:I586" si="251">G583+H583</f>
        <v>240000</v>
      </c>
      <c r="J583" s="429">
        <f t="shared" ref="J583:J586" si="252">F583-I583</f>
        <v>0</v>
      </c>
      <c r="K583" s="426"/>
    </row>
    <row r="584" spans="1:11" hidden="1" x14ac:dyDescent="0.25">
      <c r="A584" s="439"/>
      <c r="B584" s="427" t="s">
        <v>596</v>
      </c>
      <c r="C584" s="427" t="s">
        <v>368</v>
      </c>
      <c r="D584" s="426"/>
      <c r="E584" s="428" t="s">
        <v>369</v>
      </c>
      <c r="F584" s="429">
        <v>2762500</v>
      </c>
      <c r="G584" s="429">
        <v>0</v>
      </c>
      <c r="H584" s="429">
        <f>[2]Nov!I634</f>
        <v>2762500</v>
      </c>
      <c r="I584" s="429">
        <f t="shared" si="251"/>
        <v>2762500</v>
      </c>
      <c r="J584" s="429">
        <f t="shared" si="252"/>
        <v>0</v>
      </c>
      <c r="K584" s="426"/>
    </row>
    <row r="585" spans="1:11" hidden="1" x14ac:dyDescent="0.25">
      <c r="A585" s="439"/>
      <c r="B585" s="427" t="s">
        <v>596</v>
      </c>
      <c r="C585" s="427" t="s">
        <v>597</v>
      </c>
      <c r="D585" s="426"/>
      <c r="E585" s="428" t="s">
        <v>598</v>
      </c>
      <c r="F585" s="429">
        <v>785000</v>
      </c>
      <c r="G585" s="429">
        <v>0</v>
      </c>
      <c r="H585" s="429">
        <f>[2]Nov!I635</f>
        <v>650000</v>
      </c>
      <c r="I585" s="429">
        <f t="shared" si="251"/>
        <v>650000</v>
      </c>
      <c r="J585" s="429">
        <f t="shared" si="252"/>
        <v>135000</v>
      </c>
      <c r="K585" s="426"/>
    </row>
    <row r="586" spans="1:11" hidden="1" x14ac:dyDescent="0.25">
      <c r="A586" s="439"/>
      <c r="B586" s="427" t="s">
        <v>596</v>
      </c>
      <c r="C586" s="427" t="s">
        <v>487</v>
      </c>
      <c r="D586" s="426"/>
      <c r="E586" s="428" t="s">
        <v>488</v>
      </c>
      <c r="F586" s="429">
        <v>550000</v>
      </c>
      <c r="G586" s="429">
        <v>0</v>
      </c>
      <c r="H586" s="429">
        <f>[2]Nov!I636</f>
        <v>550000</v>
      </c>
      <c r="I586" s="429">
        <f t="shared" si="251"/>
        <v>550000</v>
      </c>
      <c r="J586" s="429">
        <f t="shared" si="252"/>
        <v>0</v>
      </c>
      <c r="K586" s="426"/>
    </row>
    <row r="587" spans="1:11" hidden="1" x14ac:dyDescent="0.25">
      <c r="A587" s="439"/>
      <c r="B587" s="423" t="s">
        <v>596</v>
      </c>
      <c r="C587" s="423" t="s">
        <v>370</v>
      </c>
      <c r="D587" s="422"/>
      <c r="E587" s="424" t="s">
        <v>81</v>
      </c>
      <c r="F587" s="425">
        <f>SUM(F588:F589)</f>
        <v>840000</v>
      </c>
      <c r="G587" s="425">
        <f>SUM(G588:G589)</f>
        <v>0</v>
      </c>
      <c r="H587" s="425">
        <f>SUM(H588:H589)</f>
        <v>840000</v>
      </c>
      <c r="I587" s="425">
        <f>SUM(I588:I589)</f>
        <v>840000</v>
      </c>
      <c r="J587" s="425">
        <f>SUM(J588:J589)</f>
        <v>0</v>
      </c>
      <c r="K587" s="422"/>
    </row>
    <row r="588" spans="1:11" hidden="1" x14ac:dyDescent="0.25">
      <c r="A588" s="440"/>
      <c r="B588" s="427" t="s">
        <v>596</v>
      </c>
      <c r="C588" s="427" t="s">
        <v>476</v>
      </c>
      <c r="D588" s="426"/>
      <c r="E588" s="428" t="s">
        <v>477</v>
      </c>
      <c r="F588" s="429">
        <v>450000</v>
      </c>
      <c r="G588" s="429">
        <v>0</v>
      </c>
      <c r="H588" s="429">
        <f>[2]Nov!I638</f>
        <v>450000</v>
      </c>
      <c r="I588" s="429">
        <f t="shared" ref="I588:I589" si="253">G588+H588</f>
        <v>450000</v>
      </c>
      <c r="J588" s="429">
        <f t="shared" ref="J588:J589" si="254">F588-I588</f>
        <v>0</v>
      </c>
      <c r="K588" s="426"/>
    </row>
    <row r="589" spans="1:11" hidden="1" x14ac:dyDescent="0.25">
      <c r="A589" s="439"/>
      <c r="B589" s="427" t="s">
        <v>596</v>
      </c>
      <c r="C589" s="427" t="s">
        <v>478</v>
      </c>
      <c r="D589" s="426"/>
      <c r="E589" s="428" t="s">
        <v>479</v>
      </c>
      <c r="F589" s="429">
        <v>390000</v>
      </c>
      <c r="G589" s="429">
        <v>0</v>
      </c>
      <c r="H589" s="429">
        <f>[2]Nov!I639</f>
        <v>390000</v>
      </c>
      <c r="I589" s="429">
        <f t="shared" si="253"/>
        <v>390000</v>
      </c>
      <c r="J589" s="429">
        <f t="shared" si="254"/>
        <v>0</v>
      </c>
      <c r="K589" s="426"/>
    </row>
    <row r="590" spans="1:11" hidden="1" x14ac:dyDescent="0.25">
      <c r="A590" s="439"/>
      <c r="B590" s="427"/>
      <c r="C590" s="427"/>
      <c r="D590" s="426"/>
      <c r="E590" s="428"/>
      <c r="F590" s="429"/>
      <c r="G590" s="429"/>
      <c r="H590" s="429"/>
      <c r="I590" s="429"/>
      <c r="J590" s="429"/>
      <c r="K590" s="426"/>
    </row>
    <row r="591" spans="1:11" x14ac:dyDescent="0.25">
      <c r="A591" s="439"/>
      <c r="B591" s="419" t="s">
        <v>599</v>
      </c>
      <c r="C591" s="438"/>
      <c r="D591" s="420" t="s">
        <v>116</v>
      </c>
      <c r="E591" s="418"/>
      <c r="F591" s="421">
        <f t="shared" ref="F591:J592" si="255">F592</f>
        <v>900000</v>
      </c>
      <c r="G591" s="421">
        <f t="shared" si="255"/>
        <v>0</v>
      </c>
      <c r="H591" s="421">
        <f t="shared" si="255"/>
        <v>900000</v>
      </c>
      <c r="I591" s="421">
        <f t="shared" si="255"/>
        <v>900000</v>
      </c>
      <c r="J591" s="421">
        <f t="shared" si="255"/>
        <v>0</v>
      </c>
      <c r="K591" s="418"/>
    </row>
    <row r="592" spans="1:11" x14ac:dyDescent="0.25">
      <c r="A592" s="438"/>
      <c r="B592" s="419" t="s">
        <v>600</v>
      </c>
      <c r="C592" s="438"/>
      <c r="D592" s="418"/>
      <c r="E592" s="420" t="s">
        <v>601</v>
      </c>
      <c r="F592" s="421">
        <f t="shared" si="255"/>
        <v>900000</v>
      </c>
      <c r="G592" s="421">
        <f t="shared" si="255"/>
        <v>0</v>
      </c>
      <c r="H592" s="421">
        <f t="shared" si="255"/>
        <v>900000</v>
      </c>
      <c r="I592" s="421">
        <f t="shared" si="255"/>
        <v>900000</v>
      </c>
      <c r="J592" s="421">
        <f t="shared" si="255"/>
        <v>0</v>
      </c>
      <c r="K592" s="418"/>
    </row>
    <row r="593" spans="1:11" hidden="1" x14ac:dyDescent="0.25">
      <c r="A593" s="438"/>
      <c r="B593" s="419" t="s">
        <v>600</v>
      </c>
      <c r="C593" s="419" t="s">
        <v>359</v>
      </c>
      <c r="D593" s="418"/>
      <c r="E593" s="420" t="s">
        <v>67</v>
      </c>
      <c r="F593" s="421">
        <f>F594+F597</f>
        <v>900000</v>
      </c>
      <c r="G593" s="421">
        <f>G594+G597</f>
        <v>0</v>
      </c>
      <c r="H593" s="421">
        <f>H594+H597</f>
        <v>900000</v>
      </c>
      <c r="I593" s="421">
        <f>I594+I597</f>
        <v>900000</v>
      </c>
      <c r="J593" s="421">
        <f>J594+J597</f>
        <v>0</v>
      </c>
      <c r="K593" s="418"/>
    </row>
    <row r="594" spans="1:11" hidden="1" x14ac:dyDescent="0.25">
      <c r="A594" s="438"/>
      <c r="B594" s="423" t="s">
        <v>600</v>
      </c>
      <c r="C594" s="423" t="s">
        <v>360</v>
      </c>
      <c r="D594" s="422"/>
      <c r="E594" s="424" t="s">
        <v>361</v>
      </c>
      <c r="F594" s="425">
        <f>SUM(F595:F596)</f>
        <v>315000</v>
      </c>
      <c r="G594" s="425">
        <f>SUM(G595:G596)</f>
        <v>0</v>
      </c>
      <c r="H594" s="425">
        <f>SUM(H595:H596)</f>
        <v>315000</v>
      </c>
      <c r="I594" s="425">
        <f>SUM(I595:I596)</f>
        <v>315000</v>
      </c>
      <c r="J594" s="425">
        <f>SUM(J595:J596)</f>
        <v>0</v>
      </c>
      <c r="K594" s="422"/>
    </row>
    <row r="595" spans="1:11" hidden="1" x14ac:dyDescent="0.25">
      <c r="A595" s="440"/>
      <c r="B595" s="427" t="s">
        <v>600</v>
      </c>
      <c r="C595" s="427" t="s">
        <v>366</v>
      </c>
      <c r="D595" s="426"/>
      <c r="E595" s="428" t="s">
        <v>367</v>
      </c>
      <c r="F595" s="429">
        <v>75000</v>
      </c>
      <c r="G595" s="429">
        <v>0</v>
      </c>
      <c r="H595" s="429">
        <f>[2]Nov!I645</f>
        <v>75000</v>
      </c>
      <c r="I595" s="429">
        <f t="shared" ref="I595:I596" si="256">G595+H595</f>
        <v>75000</v>
      </c>
      <c r="J595" s="429">
        <f t="shared" ref="J595:J596" si="257">F595-I595</f>
        <v>0</v>
      </c>
      <c r="K595" s="426"/>
    </row>
    <row r="596" spans="1:11" hidden="1" x14ac:dyDescent="0.25">
      <c r="A596" s="439"/>
      <c r="B596" s="427" t="s">
        <v>600</v>
      </c>
      <c r="C596" s="427" t="s">
        <v>368</v>
      </c>
      <c r="D596" s="426"/>
      <c r="E596" s="428" t="s">
        <v>369</v>
      </c>
      <c r="F596" s="429">
        <v>240000</v>
      </c>
      <c r="G596" s="429">
        <v>0</v>
      </c>
      <c r="H596" s="429">
        <f>[2]Nov!I646</f>
        <v>240000</v>
      </c>
      <c r="I596" s="429">
        <f t="shared" si="256"/>
        <v>240000</v>
      </c>
      <c r="J596" s="429">
        <f t="shared" si="257"/>
        <v>0</v>
      </c>
      <c r="K596" s="426"/>
    </row>
    <row r="597" spans="1:11" hidden="1" x14ac:dyDescent="0.25">
      <c r="A597" s="439"/>
      <c r="B597" s="423" t="s">
        <v>600</v>
      </c>
      <c r="C597" s="423" t="s">
        <v>370</v>
      </c>
      <c r="D597" s="422"/>
      <c r="E597" s="424" t="s">
        <v>81</v>
      </c>
      <c r="F597" s="425">
        <f>SUM(F598:F599)</f>
        <v>585000</v>
      </c>
      <c r="G597" s="425">
        <f>SUM(G598:G599)</f>
        <v>0</v>
      </c>
      <c r="H597" s="425">
        <f>SUM(H598:H599)</f>
        <v>585000</v>
      </c>
      <c r="I597" s="425">
        <f>SUM(I598:I599)</f>
        <v>585000</v>
      </c>
      <c r="J597" s="425">
        <f>SUM(J598:J599)</f>
        <v>0</v>
      </c>
      <c r="K597" s="422"/>
    </row>
    <row r="598" spans="1:11" hidden="1" x14ac:dyDescent="0.25">
      <c r="A598" s="440"/>
      <c r="B598" s="427" t="s">
        <v>600</v>
      </c>
      <c r="C598" s="427" t="s">
        <v>476</v>
      </c>
      <c r="D598" s="426"/>
      <c r="E598" s="428" t="s">
        <v>477</v>
      </c>
      <c r="F598" s="429">
        <v>450000</v>
      </c>
      <c r="G598" s="429">
        <v>0</v>
      </c>
      <c r="H598" s="429">
        <f>[2]Nov!I648</f>
        <v>450000</v>
      </c>
      <c r="I598" s="429">
        <f t="shared" ref="I598:I599" si="258">G598+H598</f>
        <v>450000</v>
      </c>
      <c r="J598" s="429">
        <f t="shared" ref="J598:J599" si="259">F598-I598</f>
        <v>0</v>
      </c>
      <c r="K598" s="426"/>
    </row>
    <row r="599" spans="1:11" hidden="1" x14ac:dyDescent="0.25">
      <c r="A599" s="439"/>
      <c r="B599" s="451" t="s">
        <v>600</v>
      </c>
      <c r="C599" s="451" t="s">
        <v>478</v>
      </c>
      <c r="D599" s="452"/>
      <c r="E599" s="453" t="s">
        <v>479</v>
      </c>
      <c r="F599" s="454">
        <v>135000</v>
      </c>
      <c r="G599" s="454">
        <v>0</v>
      </c>
      <c r="H599" s="429">
        <f>[2]Nov!I649</f>
        <v>135000</v>
      </c>
      <c r="I599" s="454">
        <f t="shared" si="258"/>
        <v>135000</v>
      </c>
      <c r="J599" s="454">
        <f t="shared" si="259"/>
        <v>0</v>
      </c>
      <c r="K599" s="452"/>
    </row>
    <row r="600" spans="1:11" hidden="1" x14ac:dyDescent="0.25">
      <c r="A600" s="450"/>
      <c r="B600" s="427"/>
      <c r="C600" s="427"/>
      <c r="D600" s="426"/>
      <c r="E600" s="428"/>
      <c r="F600" s="429"/>
      <c r="G600" s="429"/>
      <c r="H600" s="429"/>
      <c r="I600" s="429"/>
      <c r="J600" s="429"/>
      <c r="K600" s="426"/>
    </row>
    <row r="601" spans="1:11" x14ac:dyDescent="0.25">
      <c r="A601" s="439"/>
      <c r="B601" s="456" t="s">
        <v>602</v>
      </c>
      <c r="C601" s="455"/>
      <c r="D601" s="458" t="s">
        <v>117</v>
      </c>
      <c r="E601" s="457"/>
      <c r="F601" s="459">
        <f>F602+F614+F625</f>
        <v>24400000</v>
      </c>
      <c r="G601" s="459">
        <f>G602+G614+G625</f>
        <v>18565000</v>
      </c>
      <c r="H601" s="459">
        <f>H602+H614+H625</f>
        <v>5835000</v>
      </c>
      <c r="I601" s="459">
        <f>I602+I614+I625</f>
        <v>24400000</v>
      </c>
      <c r="J601" s="459">
        <f>J602+J614+J625</f>
        <v>0</v>
      </c>
      <c r="K601" s="457"/>
    </row>
    <row r="602" spans="1:11" x14ac:dyDescent="0.25">
      <c r="A602" s="455"/>
      <c r="B602" s="419" t="s">
        <v>603</v>
      </c>
      <c r="C602" s="438"/>
      <c r="D602" s="418"/>
      <c r="E602" s="420" t="s">
        <v>604</v>
      </c>
      <c r="F602" s="421">
        <f>F603</f>
        <v>5835000</v>
      </c>
      <c r="G602" s="421">
        <f>G603</f>
        <v>0</v>
      </c>
      <c r="H602" s="421">
        <f>H603</f>
        <v>5835000</v>
      </c>
      <c r="I602" s="421">
        <f>I603</f>
        <v>5835000</v>
      </c>
      <c r="J602" s="421">
        <f>J603</f>
        <v>0</v>
      </c>
      <c r="K602" s="418"/>
    </row>
    <row r="603" spans="1:11" hidden="1" x14ac:dyDescent="0.25">
      <c r="A603" s="438"/>
      <c r="B603" s="419" t="s">
        <v>603</v>
      </c>
      <c r="C603" s="419" t="s">
        <v>359</v>
      </c>
      <c r="D603" s="418"/>
      <c r="E603" s="420" t="s">
        <v>67</v>
      </c>
      <c r="F603" s="421">
        <f>F604+F607+F610</f>
        <v>5835000</v>
      </c>
      <c r="G603" s="421">
        <f>G604+G607+G610</f>
        <v>0</v>
      </c>
      <c r="H603" s="421">
        <f>H604+H607+H610</f>
        <v>5835000</v>
      </c>
      <c r="I603" s="421">
        <f>I604+I607+I610</f>
        <v>5835000</v>
      </c>
      <c r="J603" s="421">
        <f>J604+J607+J610</f>
        <v>0</v>
      </c>
      <c r="K603" s="418"/>
    </row>
    <row r="604" spans="1:11" hidden="1" x14ac:dyDescent="0.25">
      <c r="A604" s="438"/>
      <c r="B604" s="423" t="s">
        <v>603</v>
      </c>
      <c r="C604" s="423" t="s">
        <v>360</v>
      </c>
      <c r="D604" s="422"/>
      <c r="E604" s="424" t="s">
        <v>361</v>
      </c>
      <c r="F604" s="425">
        <f>SUM(F605:F606)</f>
        <v>5835000</v>
      </c>
      <c r="G604" s="425">
        <f>SUM(G605:G606)</f>
        <v>0</v>
      </c>
      <c r="H604" s="425">
        <f>SUM(H605:H606)</f>
        <v>5835000</v>
      </c>
      <c r="I604" s="425">
        <f>SUM(I605:I606)</f>
        <v>5835000</v>
      </c>
      <c r="J604" s="425">
        <f>SUM(J605:J606)</f>
        <v>0</v>
      </c>
      <c r="K604" s="422"/>
    </row>
    <row r="605" spans="1:11" hidden="1" x14ac:dyDescent="0.25">
      <c r="A605" s="440"/>
      <c r="B605" s="427" t="s">
        <v>603</v>
      </c>
      <c r="C605" s="427" t="s">
        <v>366</v>
      </c>
      <c r="D605" s="426"/>
      <c r="E605" s="428" t="s">
        <v>367</v>
      </c>
      <c r="F605" s="429">
        <v>75000</v>
      </c>
      <c r="G605" s="429">
        <v>0</v>
      </c>
      <c r="H605" s="429">
        <f>[2]Nov!I655</f>
        <v>75000</v>
      </c>
      <c r="I605" s="429">
        <f t="shared" ref="I605:I606" si="260">G605+H605</f>
        <v>75000</v>
      </c>
      <c r="J605" s="429">
        <f t="shared" ref="J605:J606" si="261">F605-I605</f>
        <v>0</v>
      </c>
      <c r="K605" s="426"/>
    </row>
    <row r="606" spans="1:11" hidden="1" x14ac:dyDescent="0.25">
      <c r="A606" s="439"/>
      <c r="B606" s="427" t="s">
        <v>603</v>
      </c>
      <c r="C606" s="427" t="s">
        <v>368</v>
      </c>
      <c r="D606" s="426"/>
      <c r="E606" s="428" t="s">
        <v>369</v>
      </c>
      <c r="F606" s="429">
        <v>5760000</v>
      </c>
      <c r="G606" s="429">
        <v>0</v>
      </c>
      <c r="H606" s="429">
        <f>[2]Nov!I656</f>
        <v>5760000</v>
      </c>
      <c r="I606" s="429">
        <f t="shared" si="260"/>
        <v>5760000</v>
      </c>
      <c r="J606" s="429">
        <f t="shared" si="261"/>
        <v>0</v>
      </c>
      <c r="K606" s="426"/>
    </row>
    <row r="607" spans="1:11" hidden="1" x14ac:dyDescent="0.25">
      <c r="A607" s="439"/>
      <c r="B607" s="423" t="s">
        <v>603</v>
      </c>
      <c r="C607" s="423" t="s">
        <v>370</v>
      </c>
      <c r="D607" s="422"/>
      <c r="E607" s="424" t="s">
        <v>81</v>
      </c>
      <c r="F607" s="425">
        <f>SUM(F608:F609)</f>
        <v>0</v>
      </c>
      <c r="G607" s="425">
        <f>SUM(G608:G609)</f>
        <v>0</v>
      </c>
      <c r="H607" s="425">
        <f>SUM(H608:H609)</f>
        <v>0</v>
      </c>
      <c r="I607" s="425">
        <f>SUM(I608:I609)</f>
        <v>0</v>
      </c>
      <c r="J607" s="425">
        <f>SUM(J608:J609)</f>
        <v>0</v>
      </c>
      <c r="K607" s="422"/>
    </row>
    <row r="608" spans="1:11" hidden="1" x14ac:dyDescent="0.25">
      <c r="A608" s="440"/>
      <c r="B608" s="427" t="s">
        <v>603</v>
      </c>
      <c r="C608" s="427" t="s">
        <v>476</v>
      </c>
      <c r="D608" s="426"/>
      <c r="E608" s="428" t="s">
        <v>477</v>
      </c>
      <c r="F608" s="429">
        <v>0</v>
      </c>
      <c r="G608" s="429">
        <v>0</v>
      </c>
      <c r="H608" s="429">
        <f>[2]Nov!I658</f>
        <v>0</v>
      </c>
      <c r="I608" s="429">
        <f t="shared" ref="I608:I609" si="262">G608+H608</f>
        <v>0</v>
      </c>
      <c r="J608" s="429">
        <f t="shared" ref="J608:J609" si="263">F608-I608</f>
        <v>0</v>
      </c>
      <c r="K608" s="426"/>
    </row>
    <row r="609" spans="1:11" hidden="1" x14ac:dyDescent="0.25">
      <c r="A609" s="439"/>
      <c r="B609" s="427" t="s">
        <v>603</v>
      </c>
      <c r="C609" s="427" t="s">
        <v>478</v>
      </c>
      <c r="D609" s="426"/>
      <c r="E609" s="428" t="s">
        <v>479</v>
      </c>
      <c r="F609" s="429">
        <v>0</v>
      </c>
      <c r="G609" s="429">
        <v>0</v>
      </c>
      <c r="H609" s="429">
        <f>[2]Nov!I659</f>
        <v>0</v>
      </c>
      <c r="I609" s="429">
        <f t="shared" si="262"/>
        <v>0</v>
      </c>
      <c r="J609" s="429">
        <f t="shared" si="263"/>
        <v>0</v>
      </c>
      <c r="K609" s="426"/>
    </row>
    <row r="610" spans="1:11" hidden="1" x14ac:dyDescent="0.25">
      <c r="A610" s="439"/>
      <c r="B610" s="423" t="s">
        <v>603</v>
      </c>
      <c r="C610" s="423" t="s">
        <v>460</v>
      </c>
      <c r="D610" s="422"/>
      <c r="E610" s="424" t="s">
        <v>461</v>
      </c>
      <c r="F610" s="425">
        <f>SUM(F611:F612)</f>
        <v>0</v>
      </c>
      <c r="G610" s="425">
        <f>SUM(G611:G612)</f>
        <v>0</v>
      </c>
      <c r="H610" s="425">
        <f>SUM(H611:H612)</f>
        <v>0</v>
      </c>
      <c r="I610" s="425">
        <f>SUM(I611:I612)</f>
        <v>0</v>
      </c>
      <c r="J610" s="425">
        <f>SUM(J611:J612)</f>
        <v>0</v>
      </c>
      <c r="K610" s="422"/>
    </row>
    <row r="611" spans="1:11" ht="25.5" hidden="1" x14ac:dyDescent="0.25">
      <c r="A611" s="440"/>
      <c r="B611" s="427" t="s">
        <v>603</v>
      </c>
      <c r="C611" s="427" t="s">
        <v>605</v>
      </c>
      <c r="D611" s="426"/>
      <c r="E611" s="464" t="s">
        <v>606</v>
      </c>
      <c r="F611" s="429">
        <v>0</v>
      </c>
      <c r="G611" s="429">
        <v>0</v>
      </c>
      <c r="H611" s="429">
        <f>[2]Nov!I661</f>
        <v>0</v>
      </c>
      <c r="I611" s="429">
        <f t="shared" ref="I611:I612" si="264">G611+H611</f>
        <v>0</v>
      </c>
      <c r="J611" s="429">
        <f t="shared" ref="J611:J612" si="265">F611-I611</f>
        <v>0</v>
      </c>
      <c r="K611" s="426"/>
    </row>
    <row r="612" spans="1:11" hidden="1" x14ac:dyDescent="0.25">
      <c r="A612" s="439"/>
      <c r="B612" s="427" t="s">
        <v>603</v>
      </c>
      <c r="C612" s="427" t="s">
        <v>462</v>
      </c>
      <c r="D612" s="426"/>
      <c r="E612" s="428" t="s">
        <v>463</v>
      </c>
      <c r="F612" s="429">
        <v>0</v>
      </c>
      <c r="G612" s="429">
        <v>0</v>
      </c>
      <c r="H612" s="429">
        <f>[2]Nov!I662</f>
        <v>0</v>
      </c>
      <c r="I612" s="429">
        <f t="shared" si="264"/>
        <v>0</v>
      </c>
      <c r="J612" s="429">
        <f t="shared" si="265"/>
        <v>0</v>
      </c>
      <c r="K612" s="426"/>
    </row>
    <row r="613" spans="1:11" hidden="1" x14ac:dyDescent="0.25">
      <c r="A613" s="439"/>
      <c r="B613" s="427"/>
      <c r="C613" s="427"/>
      <c r="D613" s="426"/>
      <c r="E613" s="428"/>
      <c r="F613" s="429"/>
      <c r="G613" s="429"/>
      <c r="H613" s="429"/>
      <c r="I613" s="429"/>
      <c r="J613" s="429"/>
      <c r="K613" s="426"/>
    </row>
    <row r="614" spans="1:11" x14ac:dyDescent="0.25">
      <c r="A614" s="439"/>
      <c r="B614" s="419" t="s">
        <v>607</v>
      </c>
      <c r="C614" s="438"/>
      <c r="D614" s="418"/>
      <c r="E614" s="420" t="s">
        <v>608</v>
      </c>
      <c r="F614" s="421">
        <f>F615</f>
        <v>13015000</v>
      </c>
      <c r="G614" s="421">
        <f>G615</f>
        <v>13015000</v>
      </c>
      <c r="H614" s="421">
        <f>H615</f>
        <v>0</v>
      </c>
      <c r="I614" s="421">
        <f>I615</f>
        <v>13015000</v>
      </c>
      <c r="J614" s="421">
        <f>J615</f>
        <v>0</v>
      </c>
      <c r="K614" s="426"/>
    </row>
    <row r="615" spans="1:11" ht="0.75" customHeight="1" x14ac:dyDescent="0.25">
      <c r="A615" s="439"/>
      <c r="B615" s="419" t="s">
        <v>607</v>
      </c>
      <c r="C615" s="419" t="s">
        <v>359</v>
      </c>
      <c r="D615" s="418"/>
      <c r="E615" s="420" t="s">
        <v>67</v>
      </c>
      <c r="F615" s="421">
        <f>F616+F621</f>
        <v>13015000</v>
      </c>
      <c r="G615" s="421">
        <f>G616+G621</f>
        <v>13015000</v>
      </c>
      <c r="H615" s="421">
        <f>H616+H621</f>
        <v>0</v>
      </c>
      <c r="I615" s="421">
        <f>I616+I621</f>
        <v>13015000</v>
      </c>
      <c r="J615" s="421">
        <f>J616+J621</f>
        <v>0</v>
      </c>
      <c r="K615" s="426"/>
    </row>
    <row r="616" spans="1:11" hidden="1" x14ac:dyDescent="0.25">
      <c r="A616" s="439"/>
      <c r="B616" s="423" t="s">
        <v>607</v>
      </c>
      <c r="C616" s="423" t="s">
        <v>360</v>
      </c>
      <c r="D616" s="422"/>
      <c r="E616" s="424" t="s">
        <v>361</v>
      </c>
      <c r="F616" s="425">
        <f>SUM(F617:F619)</f>
        <v>565000</v>
      </c>
      <c r="G616" s="425">
        <f>SUM(G617:G619)</f>
        <v>565000</v>
      </c>
      <c r="H616" s="425">
        <f>SUM(H617:H619)</f>
        <v>0</v>
      </c>
      <c r="I616" s="425">
        <f>SUM(I617:I619)</f>
        <v>565000</v>
      </c>
      <c r="J616" s="425">
        <f>SUM(J617:J619)</f>
        <v>0</v>
      </c>
      <c r="K616" s="426"/>
    </row>
    <row r="617" spans="1:11" hidden="1" x14ac:dyDescent="0.25">
      <c r="A617" s="439"/>
      <c r="B617" s="427" t="s">
        <v>607</v>
      </c>
      <c r="C617" s="427" t="s">
        <v>362</v>
      </c>
      <c r="D617" s="426"/>
      <c r="E617" s="428" t="s">
        <v>363</v>
      </c>
      <c r="F617" s="429">
        <v>55000</v>
      </c>
      <c r="G617" s="429">
        <v>55000</v>
      </c>
      <c r="H617" s="429">
        <f>[2]Nov!I667</f>
        <v>0</v>
      </c>
      <c r="I617" s="429">
        <f>G617+H617</f>
        <v>55000</v>
      </c>
      <c r="J617" s="429">
        <f t="shared" ref="J617:J619" si="266">F617-I617</f>
        <v>0</v>
      </c>
      <c r="K617" s="426"/>
    </row>
    <row r="618" spans="1:11" hidden="1" x14ac:dyDescent="0.25">
      <c r="A618" s="439"/>
      <c r="B618" s="427" t="s">
        <v>607</v>
      </c>
      <c r="C618" s="427" t="s">
        <v>366</v>
      </c>
      <c r="D618" s="426"/>
      <c r="E618" s="428" t="s">
        <v>367</v>
      </c>
      <c r="F618" s="429">
        <v>60000</v>
      </c>
      <c r="G618" s="429">
        <v>60000</v>
      </c>
      <c r="H618" s="429">
        <f>[2]Nov!I668</f>
        <v>0</v>
      </c>
      <c r="I618" s="429">
        <f>G618+H618</f>
        <v>60000</v>
      </c>
      <c r="J618" s="429">
        <f t="shared" si="266"/>
        <v>0</v>
      </c>
      <c r="K618" s="426"/>
    </row>
    <row r="619" spans="1:11" hidden="1" x14ac:dyDescent="0.25">
      <c r="A619" s="439"/>
      <c r="B619" s="427" t="s">
        <v>607</v>
      </c>
      <c r="C619" s="427" t="s">
        <v>368</v>
      </c>
      <c r="D619" s="426"/>
      <c r="E619" s="428" t="s">
        <v>369</v>
      </c>
      <c r="F619" s="429">
        <v>450000</v>
      </c>
      <c r="G619" s="429">
        <v>450000</v>
      </c>
      <c r="H619" s="429">
        <f>[2]Nov!I669</f>
        <v>0</v>
      </c>
      <c r="I619" s="429">
        <f>G619+H619</f>
        <v>450000</v>
      </c>
      <c r="J619" s="429">
        <f t="shared" si="266"/>
        <v>0</v>
      </c>
      <c r="K619" s="426"/>
    </row>
    <row r="620" spans="1:11" hidden="1" x14ac:dyDescent="0.25">
      <c r="A620" s="477"/>
      <c r="B620" s="427"/>
      <c r="C620" s="427"/>
      <c r="D620" s="426"/>
      <c r="E620" s="428"/>
      <c r="F620" s="429"/>
      <c r="G620" s="429"/>
      <c r="H620" s="429"/>
      <c r="I620" s="429"/>
      <c r="J620" s="429"/>
      <c r="K620" s="426"/>
    </row>
    <row r="621" spans="1:11" hidden="1" x14ac:dyDescent="0.25">
      <c r="A621" s="485"/>
      <c r="B621" s="423" t="s">
        <v>607</v>
      </c>
      <c r="C621" s="423" t="s">
        <v>460</v>
      </c>
      <c r="D621" s="422"/>
      <c r="E621" s="424" t="s">
        <v>461</v>
      </c>
      <c r="F621" s="425">
        <f>SUM(F622:F623)</f>
        <v>12450000</v>
      </c>
      <c r="G621" s="425">
        <f>SUM(G622:G623)</f>
        <v>12450000</v>
      </c>
      <c r="H621" s="425">
        <f>SUM(H622:H623)</f>
        <v>0</v>
      </c>
      <c r="I621" s="425">
        <f>SUM(I622:I623)</f>
        <v>12450000</v>
      </c>
      <c r="J621" s="425">
        <f>SUM(J622:J623)</f>
        <v>0</v>
      </c>
      <c r="K621" s="426"/>
    </row>
    <row r="622" spans="1:11" hidden="1" x14ac:dyDescent="0.25">
      <c r="A622" s="439"/>
      <c r="B622" s="427" t="s">
        <v>607</v>
      </c>
      <c r="C622" s="427" t="s">
        <v>594</v>
      </c>
      <c r="D622" s="426"/>
      <c r="E622" s="428" t="s">
        <v>595</v>
      </c>
      <c r="F622" s="429">
        <v>6450000</v>
      </c>
      <c r="G622" s="429">
        <v>6450000</v>
      </c>
      <c r="H622" s="429">
        <f>[2]Nov!I674</f>
        <v>0</v>
      </c>
      <c r="I622" s="429">
        <f>G622+H622</f>
        <v>6450000</v>
      </c>
      <c r="J622" s="429">
        <f t="shared" ref="J622:J623" si="267">F622-I622</f>
        <v>0</v>
      </c>
      <c r="K622" s="426"/>
    </row>
    <row r="623" spans="1:11" hidden="1" x14ac:dyDescent="0.25">
      <c r="A623" s="439"/>
      <c r="B623" s="427" t="s">
        <v>607</v>
      </c>
      <c r="C623" s="427" t="s">
        <v>462</v>
      </c>
      <c r="D623" s="426"/>
      <c r="E623" s="428" t="s">
        <v>479</v>
      </c>
      <c r="F623" s="429">
        <v>6000000</v>
      </c>
      <c r="G623" s="429">
        <v>6000000</v>
      </c>
      <c r="H623" s="429">
        <f>[2]Nov!I675</f>
        <v>0</v>
      </c>
      <c r="I623" s="429">
        <f>G623+H623</f>
        <v>6000000</v>
      </c>
      <c r="J623" s="429">
        <f t="shared" si="267"/>
        <v>0</v>
      </c>
      <c r="K623" s="426"/>
    </row>
    <row r="624" spans="1:11" hidden="1" x14ac:dyDescent="0.25">
      <c r="A624" s="439"/>
      <c r="B624" s="427"/>
      <c r="C624" s="427"/>
      <c r="D624" s="426"/>
      <c r="E624" s="428"/>
      <c r="F624" s="429"/>
      <c r="G624" s="429"/>
      <c r="H624" s="429"/>
      <c r="I624" s="429"/>
      <c r="J624" s="429"/>
      <c r="K624" s="426"/>
    </row>
    <row r="625" spans="1:11" x14ac:dyDescent="0.25">
      <c r="A625" s="439"/>
      <c r="B625" s="419" t="s">
        <v>609</v>
      </c>
      <c r="C625" s="438"/>
      <c r="D625" s="418"/>
      <c r="E625" s="420" t="s">
        <v>610</v>
      </c>
      <c r="F625" s="421">
        <f>F626</f>
        <v>5550000</v>
      </c>
      <c r="G625" s="421">
        <f>G626</f>
        <v>5550000</v>
      </c>
      <c r="H625" s="421">
        <f>H626</f>
        <v>0</v>
      </c>
      <c r="I625" s="421">
        <f>I626</f>
        <v>5550000</v>
      </c>
      <c r="J625" s="421">
        <f>J626</f>
        <v>0</v>
      </c>
      <c r="K625" s="418"/>
    </row>
    <row r="626" spans="1:11" hidden="1" x14ac:dyDescent="0.25">
      <c r="A626" s="438"/>
      <c r="B626" s="419" t="s">
        <v>609</v>
      </c>
      <c r="C626" s="419" t="s">
        <v>359</v>
      </c>
      <c r="D626" s="418"/>
      <c r="E626" s="420" t="s">
        <v>67</v>
      </c>
      <c r="F626" s="421">
        <f>F627+F630</f>
        <v>5550000</v>
      </c>
      <c r="G626" s="421">
        <f>G627+G630</f>
        <v>5550000</v>
      </c>
      <c r="H626" s="421">
        <f>H627+H630</f>
        <v>0</v>
      </c>
      <c r="I626" s="421">
        <f>I627+I630</f>
        <v>5550000</v>
      </c>
      <c r="J626" s="421">
        <f>J627+J630</f>
        <v>0</v>
      </c>
      <c r="K626" s="418"/>
    </row>
    <row r="627" spans="1:11" hidden="1" x14ac:dyDescent="0.25">
      <c r="A627" s="438"/>
      <c r="B627" s="423" t="s">
        <v>609</v>
      </c>
      <c r="C627" s="423" t="s">
        <v>360</v>
      </c>
      <c r="D627" s="422"/>
      <c r="E627" s="424" t="s">
        <v>361</v>
      </c>
      <c r="F627" s="425">
        <f>SUM(F628:F629)</f>
        <v>3000000</v>
      </c>
      <c r="G627" s="425">
        <f>SUM(G628:G629)</f>
        <v>3000000</v>
      </c>
      <c r="H627" s="425">
        <f>SUM(H628:H629)</f>
        <v>0</v>
      </c>
      <c r="I627" s="425">
        <f>SUM(I628:I629)</f>
        <v>3000000</v>
      </c>
      <c r="J627" s="425">
        <f>SUM(J628:J629)</f>
        <v>0</v>
      </c>
      <c r="K627" s="422"/>
    </row>
    <row r="628" spans="1:11" hidden="1" x14ac:dyDescent="0.25">
      <c r="A628" s="440"/>
      <c r="B628" s="427" t="s">
        <v>609</v>
      </c>
      <c r="C628" s="427" t="s">
        <v>366</v>
      </c>
      <c r="D628" s="426"/>
      <c r="E628" s="428" t="s">
        <v>367</v>
      </c>
      <c r="F628" s="429">
        <v>140000</v>
      </c>
      <c r="G628" s="429">
        <f>65000+75000</f>
        <v>140000</v>
      </c>
      <c r="H628" s="429">
        <f>[2]Nov!I680</f>
        <v>0</v>
      </c>
      <c r="I628" s="429">
        <f t="shared" ref="I628:I629" si="268">G628+H628</f>
        <v>140000</v>
      </c>
      <c r="J628" s="429">
        <f t="shared" ref="J628:J629" si="269">F628-I628</f>
        <v>0</v>
      </c>
      <c r="K628" s="426"/>
    </row>
    <row r="629" spans="1:11" hidden="1" x14ac:dyDescent="0.25">
      <c r="A629" s="439"/>
      <c r="B629" s="427" t="s">
        <v>609</v>
      </c>
      <c r="C629" s="427" t="s">
        <v>368</v>
      </c>
      <c r="D629" s="426"/>
      <c r="E629" s="428" t="s">
        <v>369</v>
      </c>
      <c r="F629" s="429">
        <v>2860000</v>
      </c>
      <c r="G629" s="429">
        <v>2860000</v>
      </c>
      <c r="H629" s="429">
        <f>[2]Nov!I681</f>
        <v>0</v>
      </c>
      <c r="I629" s="429">
        <f t="shared" si="268"/>
        <v>2860000</v>
      </c>
      <c r="J629" s="429">
        <f t="shared" si="269"/>
        <v>0</v>
      </c>
      <c r="K629" s="426"/>
    </row>
    <row r="630" spans="1:11" hidden="1" x14ac:dyDescent="0.25">
      <c r="A630" s="439"/>
      <c r="B630" s="423" t="s">
        <v>609</v>
      </c>
      <c r="C630" s="423" t="s">
        <v>370</v>
      </c>
      <c r="D630" s="422"/>
      <c r="E630" s="424" t="s">
        <v>81</v>
      </c>
      <c r="F630" s="425">
        <f>SUM(F631:F632)</f>
        <v>2550000</v>
      </c>
      <c r="G630" s="425">
        <f>SUM(G631:G632)</f>
        <v>2550000</v>
      </c>
      <c r="H630" s="425">
        <f>SUM(H631:H632)</f>
        <v>0</v>
      </c>
      <c r="I630" s="425">
        <f>SUM(I631:I632)</f>
        <v>2550000</v>
      </c>
      <c r="J630" s="425">
        <f>SUM(J631:J632)</f>
        <v>0</v>
      </c>
      <c r="K630" s="422"/>
    </row>
    <row r="631" spans="1:11" hidden="1" x14ac:dyDescent="0.25">
      <c r="A631" s="440"/>
      <c r="B631" s="427" t="s">
        <v>609</v>
      </c>
      <c r="C631" s="427" t="s">
        <v>476</v>
      </c>
      <c r="D631" s="426"/>
      <c r="E631" s="428" t="s">
        <v>477</v>
      </c>
      <c r="F631" s="429">
        <v>450000</v>
      </c>
      <c r="G631" s="429">
        <v>450000</v>
      </c>
      <c r="H631" s="429">
        <f>[2]Nov!I683</f>
        <v>0</v>
      </c>
      <c r="I631" s="429">
        <f t="shared" ref="I631:I632" si="270">G631+H631</f>
        <v>450000</v>
      </c>
      <c r="J631" s="429">
        <f t="shared" ref="J631:J632" si="271">F631-I631</f>
        <v>0</v>
      </c>
      <c r="K631" s="426"/>
    </row>
    <row r="632" spans="1:11" hidden="1" x14ac:dyDescent="0.25">
      <c r="A632" s="439"/>
      <c r="B632" s="427" t="s">
        <v>609</v>
      </c>
      <c r="C632" s="427" t="s">
        <v>478</v>
      </c>
      <c r="D632" s="426"/>
      <c r="E632" s="428" t="s">
        <v>479</v>
      </c>
      <c r="F632" s="429">
        <v>2100000</v>
      </c>
      <c r="G632" s="429">
        <v>2100000</v>
      </c>
      <c r="H632" s="429">
        <f>[2]Nov!I684</f>
        <v>0</v>
      </c>
      <c r="I632" s="429">
        <f t="shared" si="270"/>
        <v>2100000</v>
      </c>
      <c r="J632" s="429">
        <f t="shared" si="271"/>
        <v>0</v>
      </c>
      <c r="K632" s="426"/>
    </row>
    <row r="633" spans="1:11" hidden="1" x14ac:dyDescent="0.25">
      <c r="A633" s="439"/>
      <c r="B633" s="427"/>
      <c r="C633" s="427"/>
      <c r="D633" s="426"/>
      <c r="E633" s="428"/>
      <c r="F633" s="429"/>
      <c r="G633" s="429"/>
      <c r="H633" s="429"/>
      <c r="I633" s="429"/>
      <c r="J633" s="429"/>
      <c r="K633" s="426"/>
    </row>
    <row r="634" spans="1:11" x14ac:dyDescent="0.25">
      <c r="A634" s="439"/>
      <c r="B634" s="419" t="s">
        <v>611</v>
      </c>
      <c r="C634" s="438"/>
      <c r="D634" s="420" t="s">
        <v>612</v>
      </c>
      <c r="E634" s="418"/>
      <c r="F634" s="421">
        <f t="shared" ref="F634:J635" si="272">F635</f>
        <v>2920000</v>
      </c>
      <c r="G634" s="421">
        <f t="shared" si="272"/>
        <v>0</v>
      </c>
      <c r="H634" s="421">
        <f t="shared" si="272"/>
        <v>2920000</v>
      </c>
      <c r="I634" s="421">
        <f t="shared" si="272"/>
        <v>2920000</v>
      </c>
      <c r="J634" s="421">
        <f t="shared" si="272"/>
        <v>0</v>
      </c>
      <c r="K634" s="418"/>
    </row>
    <row r="635" spans="1:11" ht="38.25" x14ac:dyDescent="0.25">
      <c r="A635" s="438"/>
      <c r="B635" s="449" t="s">
        <v>613</v>
      </c>
      <c r="C635" s="438"/>
      <c r="D635" s="418"/>
      <c r="E635" s="484" t="s">
        <v>614</v>
      </c>
      <c r="F635" s="443">
        <f t="shared" si="272"/>
        <v>2920000</v>
      </c>
      <c r="G635" s="443">
        <f t="shared" si="272"/>
        <v>0</v>
      </c>
      <c r="H635" s="443">
        <f t="shared" si="272"/>
        <v>2920000</v>
      </c>
      <c r="I635" s="443">
        <f t="shared" si="272"/>
        <v>2920000</v>
      </c>
      <c r="J635" s="443">
        <f t="shared" si="272"/>
        <v>0</v>
      </c>
      <c r="K635" s="418"/>
    </row>
    <row r="636" spans="1:11" ht="0.75" customHeight="1" x14ac:dyDescent="0.25">
      <c r="A636" s="438"/>
      <c r="B636" s="419" t="s">
        <v>613</v>
      </c>
      <c r="C636" s="419" t="s">
        <v>359</v>
      </c>
      <c r="D636" s="418"/>
      <c r="E636" s="420" t="s">
        <v>67</v>
      </c>
      <c r="F636" s="421">
        <f>F637+F640</f>
        <v>2920000</v>
      </c>
      <c r="G636" s="421">
        <f>G637+G640</f>
        <v>0</v>
      </c>
      <c r="H636" s="421">
        <f>H637+H640</f>
        <v>2920000</v>
      </c>
      <c r="I636" s="421">
        <f>I637+I640</f>
        <v>2920000</v>
      </c>
      <c r="J636" s="421">
        <f>J637+J640</f>
        <v>0</v>
      </c>
      <c r="K636" s="418"/>
    </row>
    <row r="637" spans="1:11" hidden="1" x14ac:dyDescent="0.25">
      <c r="A637" s="438"/>
      <c r="B637" s="423" t="s">
        <v>613</v>
      </c>
      <c r="C637" s="423" t="s">
        <v>360</v>
      </c>
      <c r="D637" s="422"/>
      <c r="E637" s="424" t="s">
        <v>361</v>
      </c>
      <c r="F637" s="425">
        <f>SUM(F638:F639)</f>
        <v>1495000</v>
      </c>
      <c r="G637" s="425">
        <f>SUM(G638:G639)</f>
        <v>0</v>
      </c>
      <c r="H637" s="425">
        <f>SUM(H638:H639)</f>
        <v>1495000</v>
      </c>
      <c r="I637" s="425">
        <f>SUM(I638:I639)</f>
        <v>1495000</v>
      </c>
      <c r="J637" s="425">
        <f>SUM(J638:J639)</f>
        <v>0</v>
      </c>
      <c r="K637" s="422"/>
    </row>
    <row r="638" spans="1:11" hidden="1" x14ac:dyDescent="0.25">
      <c r="A638" s="440"/>
      <c r="B638" s="427" t="s">
        <v>613</v>
      </c>
      <c r="C638" s="427" t="s">
        <v>366</v>
      </c>
      <c r="D638" s="426"/>
      <c r="E638" s="428" t="s">
        <v>367</v>
      </c>
      <c r="F638" s="429">
        <v>155000</v>
      </c>
      <c r="G638" s="429">
        <v>0</v>
      </c>
      <c r="H638" s="429">
        <f>[2]Nov!I690</f>
        <v>155000</v>
      </c>
      <c r="I638" s="429">
        <f t="shared" ref="I638:I639" si="273">G638+H638</f>
        <v>155000</v>
      </c>
      <c r="J638" s="429">
        <f t="shared" ref="J638:J639" si="274">F638-I638</f>
        <v>0</v>
      </c>
      <c r="K638" s="426"/>
    </row>
    <row r="639" spans="1:11" hidden="1" x14ac:dyDescent="0.25">
      <c r="A639" s="439"/>
      <c r="B639" s="427" t="s">
        <v>613</v>
      </c>
      <c r="C639" s="427" t="s">
        <v>368</v>
      </c>
      <c r="D639" s="426"/>
      <c r="E639" s="428" t="s">
        <v>369</v>
      </c>
      <c r="F639" s="429">
        <v>1340000</v>
      </c>
      <c r="G639" s="429">
        <v>0</v>
      </c>
      <c r="H639" s="429">
        <f>[2]Nov!I691</f>
        <v>1340000</v>
      </c>
      <c r="I639" s="429">
        <f t="shared" si="273"/>
        <v>1340000</v>
      </c>
      <c r="J639" s="429">
        <f t="shared" si="274"/>
        <v>0</v>
      </c>
      <c r="K639" s="426"/>
    </row>
    <row r="640" spans="1:11" hidden="1" x14ac:dyDescent="0.25">
      <c r="A640" s="439"/>
      <c r="B640" s="423" t="s">
        <v>613</v>
      </c>
      <c r="C640" s="423" t="s">
        <v>370</v>
      </c>
      <c r="D640" s="422"/>
      <c r="E640" s="424" t="s">
        <v>81</v>
      </c>
      <c r="F640" s="425">
        <f>SUM(F641:F642)</f>
        <v>1425000</v>
      </c>
      <c r="G640" s="425">
        <f>SUM(G641:G642)</f>
        <v>0</v>
      </c>
      <c r="H640" s="425">
        <f>SUM(H641:H642)</f>
        <v>1425000</v>
      </c>
      <c r="I640" s="425">
        <f>SUM(I641:I642)</f>
        <v>1425000</v>
      </c>
      <c r="J640" s="425">
        <f>SUM(J641:J642)</f>
        <v>0</v>
      </c>
      <c r="K640" s="422"/>
    </row>
    <row r="641" spans="1:11" hidden="1" x14ac:dyDescent="0.25">
      <c r="A641" s="440"/>
      <c r="B641" s="427" t="s">
        <v>613</v>
      </c>
      <c r="C641" s="427" t="s">
        <v>476</v>
      </c>
      <c r="D641" s="426"/>
      <c r="E641" s="428" t="s">
        <v>477</v>
      </c>
      <c r="F641" s="429">
        <v>450000</v>
      </c>
      <c r="G641" s="429">
        <v>0</v>
      </c>
      <c r="H641" s="429">
        <f>[2]Nov!I693</f>
        <v>450000</v>
      </c>
      <c r="I641" s="429">
        <f t="shared" ref="I641:I642" si="275">G641+H641</f>
        <v>450000</v>
      </c>
      <c r="J641" s="429">
        <f t="shared" ref="J641:J642" si="276">F641-I641</f>
        <v>0</v>
      </c>
      <c r="K641" s="426"/>
    </row>
    <row r="642" spans="1:11" hidden="1" x14ac:dyDescent="0.25">
      <c r="A642" s="439"/>
      <c r="B642" s="427" t="s">
        <v>613</v>
      </c>
      <c r="C642" s="427" t="s">
        <v>478</v>
      </c>
      <c r="D642" s="426"/>
      <c r="E642" s="428" t="s">
        <v>479</v>
      </c>
      <c r="F642" s="429">
        <v>975000</v>
      </c>
      <c r="G642" s="429">
        <v>0</v>
      </c>
      <c r="H642" s="429">
        <f>[2]Nov!I694</f>
        <v>975000</v>
      </c>
      <c r="I642" s="429">
        <f t="shared" si="275"/>
        <v>975000</v>
      </c>
      <c r="J642" s="429">
        <f t="shared" si="276"/>
        <v>0</v>
      </c>
      <c r="K642" s="426"/>
    </row>
    <row r="643" spans="1:11" hidden="1" x14ac:dyDescent="0.25">
      <c r="A643" s="439"/>
      <c r="B643" s="427"/>
      <c r="C643" s="427"/>
      <c r="D643" s="426"/>
      <c r="E643" s="428"/>
      <c r="F643" s="429"/>
      <c r="G643" s="429"/>
      <c r="H643" s="429"/>
      <c r="I643" s="429"/>
      <c r="J643" s="429"/>
      <c r="K643" s="426"/>
    </row>
    <row r="644" spans="1:11" x14ac:dyDescent="0.25">
      <c r="A644" s="439"/>
      <c r="B644" s="419" t="s">
        <v>615</v>
      </c>
      <c r="C644" s="438"/>
      <c r="D644" s="420" t="s">
        <v>119</v>
      </c>
      <c r="E644" s="418"/>
      <c r="F644" s="421">
        <f t="shared" ref="F644:J645" si="277">F645</f>
        <v>2504800</v>
      </c>
      <c r="G644" s="421">
        <f t="shared" si="277"/>
        <v>0</v>
      </c>
      <c r="H644" s="421">
        <f t="shared" si="277"/>
        <v>2504750</v>
      </c>
      <c r="I644" s="421">
        <f t="shared" si="277"/>
        <v>2504750</v>
      </c>
      <c r="J644" s="421">
        <f t="shared" si="277"/>
        <v>50</v>
      </c>
      <c r="K644" s="418"/>
    </row>
    <row r="645" spans="1:11" ht="25.5" x14ac:dyDescent="0.25">
      <c r="A645" s="438"/>
      <c r="B645" s="449" t="s">
        <v>616</v>
      </c>
      <c r="C645" s="438"/>
      <c r="D645" s="418"/>
      <c r="E645" s="484" t="s">
        <v>617</v>
      </c>
      <c r="F645" s="443">
        <f t="shared" si="277"/>
        <v>2504800</v>
      </c>
      <c r="G645" s="443">
        <f t="shared" si="277"/>
        <v>0</v>
      </c>
      <c r="H645" s="443">
        <f t="shared" si="277"/>
        <v>2504750</v>
      </c>
      <c r="I645" s="443">
        <f t="shared" si="277"/>
        <v>2504750</v>
      </c>
      <c r="J645" s="443">
        <f t="shared" si="277"/>
        <v>50</v>
      </c>
      <c r="K645" s="418"/>
    </row>
    <row r="646" spans="1:11" hidden="1" x14ac:dyDescent="0.25">
      <c r="A646" s="438"/>
      <c r="B646" s="419" t="s">
        <v>616</v>
      </c>
      <c r="C646" s="419" t="s">
        <v>359</v>
      </c>
      <c r="D646" s="418"/>
      <c r="E646" s="420" t="s">
        <v>67</v>
      </c>
      <c r="F646" s="421">
        <f>F647+F650+F653</f>
        <v>2504800</v>
      </c>
      <c r="G646" s="421">
        <f>G647+G650+G653</f>
        <v>0</v>
      </c>
      <c r="H646" s="421">
        <f>H647+H650+H653</f>
        <v>2504750</v>
      </c>
      <c r="I646" s="421">
        <f>I647+I650+I653</f>
        <v>2504750</v>
      </c>
      <c r="J646" s="421">
        <f>J647+J650+J653</f>
        <v>50</v>
      </c>
      <c r="K646" s="418"/>
    </row>
    <row r="647" spans="1:11" hidden="1" x14ac:dyDescent="0.25">
      <c r="A647" s="438"/>
      <c r="B647" s="423" t="s">
        <v>616</v>
      </c>
      <c r="C647" s="423" t="s">
        <v>360</v>
      </c>
      <c r="D647" s="422"/>
      <c r="E647" s="424" t="s">
        <v>361</v>
      </c>
      <c r="F647" s="425">
        <f>SUM(F648:F649)</f>
        <v>704800</v>
      </c>
      <c r="G647" s="425">
        <f>SUM(G648:G649)</f>
        <v>0</v>
      </c>
      <c r="H647" s="425">
        <f>SUM(H648:H649)</f>
        <v>704750</v>
      </c>
      <c r="I647" s="425">
        <f>SUM(I648:I649)</f>
        <v>704750</v>
      </c>
      <c r="J647" s="425">
        <f>SUM(J648:J649)</f>
        <v>50</v>
      </c>
      <c r="K647" s="422"/>
    </row>
    <row r="648" spans="1:11" hidden="1" x14ac:dyDescent="0.25">
      <c r="A648" s="440"/>
      <c r="B648" s="427" t="s">
        <v>616</v>
      </c>
      <c r="C648" s="427" t="s">
        <v>366</v>
      </c>
      <c r="D648" s="426"/>
      <c r="E648" s="428" t="s">
        <v>367</v>
      </c>
      <c r="F648" s="429">
        <v>104800</v>
      </c>
      <c r="G648" s="429">
        <v>0</v>
      </c>
      <c r="H648" s="429">
        <f>[2]Nov!I700</f>
        <v>104750</v>
      </c>
      <c r="I648" s="429">
        <f t="shared" ref="I648:I649" si="278">G648+H648</f>
        <v>104750</v>
      </c>
      <c r="J648" s="429">
        <f t="shared" ref="J648:J649" si="279">F648-I648</f>
        <v>50</v>
      </c>
      <c r="K648" s="426"/>
    </row>
    <row r="649" spans="1:11" hidden="1" x14ac:dyDescent="0.25">
      <c r="A649" s="439"/>
      <c r="B649" s="427" t="s">
        <v>616</v>
      </c>
      <c r="C649" s="427" t="s">
        <v>368</v>
      </c>
      <c r="D649" s="426"/>
      <c r="E649" s="428" t="s">
        <v>369</v>
      </c>
      <c r="F649" s="429">
        <v>600000</v>
      </c>
      <c r="G649" s="429">
        <v>0</v>
      </c>
      <c r="H649" s="429">
        <f>[2]Nov!I701</f>
        <v>600000</v>
      </c>
      <c r="I649" s="429">
        <f t="shared" si="278"/>
        <v>600000</v>
      </c>
      <c r="J649" s="429">
        <f t="shared" si="279"/>
        <v>0</v>
      </c>
      <c r="K649" s="426"/>
    </row>
    <row r="650" spans="1:11" hidden="1" x14ac:dyDescent="0.25">
      <c r="A650" s="439"/>
      <c r="B650" s="466" t="s">
        <v>616</v>
      </c>
      <c r="C650" s="466" t="s">
        <v>370</v>
      </c>
      <c r="D650" s="467"/>
      <c r="E650" s="468" t="s">
        <v>81</v>
      </c>
      <c r="F650" s="469">
        <f>SUM(F651:F652)</f>
        <v>1050000</v>
      </c>
      <c r="G650" s="469">
        <f>SUM(G651:G652)</f>
        <v>0</v>
      </c>
      <c r="H650" s="469">
        <f>SUM(H651:H652)</f>
        <v>1050000</v>
      </c>
      <c r="I650" s="469">
        <f>SUM(I651:I652)</f>
        <v>1050000</v>
      </c>
      <c r="J650" s="469">
        <f>SUM(J651:J652)</f>
        <v>0</v>
      </c>
      <c r="K650" s="467"/>
    </row>
    <row r="651" spans="1:11" hidden="1" x14ac:dyDescent="0.25">
      <c r="A651" s="465"/>
      <c r="B651" s="427" t="s">
        <v>616</v>
      </c>
      <c r="C651" s="427" t="s">
        <v>476</v>
      </c>
      <c r="D651" s="426"/>
      <c r="E651" s="428" t="s">
        <v>477</v>
      </c>
      <c r="F651" s="429">
        <v>450000</v>
      </c>
      <c r="G651" s="429">
        <v>0</v>
      </c>
      <c r="H651" s="429">
        <f>[2]Nov!I703</f>
        <v>450000</v>
      </c>
      <c r="I651" s="429">
        <f t="shared" ref="I651:I652" si="280">G651+H651</f>
        <v>450000</v>
      </c>
      <c r="J651" s="429">
        <f t="shared" ref="J651:J652" si="281">F651-I651</f>
        <v>0</v>
      </c>
      <c r="K651" s="426"/>
    </row>
    <row r="652" spans="1:11" hidden="1" x14ac:dyDescent="0.25">
      <c r="A652" s="439"/>
      <c r="B652" s="427" t="s">
        <v>616</v>
      </c>
      <c r="C652" s="427" t="s">
        <v>478</v>
      </c>
      <c r="D652" s="426"/>
      <c r="E652" s="428" t="s">
        <v>479</v>
      </c>
      <c r="F652" s="429">
        <v>600000</v>
      </c>
      <c r="G652" s="429">
        <v>0</v>
      </c>
      <c r="H652" s="429">
        <f>[2]Nov!I704</f>
        <v>600000</v>
      </c>
      <c r="I652" s="429">
        <f t="shared" si="280"/>
        <v>600000</v>
      </c>
      <c r="J652" s="429">
        <f t="shared" si="281"/>
        <v>0</v>
      </c>
      <c r="K652" s="426"/>
    </row>
    <row r="653" spans="1:11" hidden="1" x14ac:dyDescent="0.25">
      <c r="A653" s="439"/>
      <c r="B653" s="423" t="s">
        <v>616</v>
      </c>
      <c r="C653" s="423" t="s">
        <v>455</v>
      </c>
      <c r="D653" s="422"/>
      <c r="E653" s="424" t="s">
        <v>83</v>
      </c>
      <c r="F653" s="425">
        <f>SUM(F654:F655)</f>
        <v>750000</v>
      </c>
      <c r="G653" s="425">
        <f>SUM(G654:G655)</f>
        <v>0</v>
      </c>
      <c r="H653" s="425">
        <f>SUM(H654:H655)</f>
        <v>750000</v>
      </c>
      <c r="I653" s="425">
        <f>SUM(I654:I655)</f>
        <v>750000</v>
      </c>
      <c r="J653" s="425">
        <f>SUM(J654:J655)</f>
        <v>0</v>
      </c>
      <c r="K653" s="422"/>
    </row>
    <row r="654" spans="1:11" hidden="1" x14ac:dyDescent="0.25">
      <c r="A654" s="440"/>
      <c r="B654" s="427" t="s">
        <v>616</v>
      </c>
      <c r="C654" s="427" t="s">
        <v>618</v>
      </c>
      <c r="D654" s="426"/>
      <c r="E654" s="428" t="s">
        <v>619</v>
      </c>
      <c r="F654" s="429">
        <v>250000</v>
      </c>
      <c r="G654" s="429">
        <v>0</v>
      </c>
      <c r="H654" s="429">
        <f>[2]Nov!I706</f>
        <v>250000</v>
      </c>
      <c r="I654" s="429">
        <f t="shared" ref="I654:I655" si="282">G654+H654</f>
        <v>250000</v>
      </c>
      <c r="J654" s="429">
        <f t="shared" ref="J654:J655" si="283">F654-I654</f>
        <v>0</v>
      </c>
      <c r="K654" s="426"/>
    </row>
    <row r="655" spans="1:11" hidden="1" x14ac:dyDescent="0.25">
      <c r="A655" s="439"/>
      <c r="B655" s="451" t="s">
        <v>616</v>
      </c>
      <c r="C655" s="451" t="s">
        <v>467</v>
      </c>
      <c r="D655" s="452"/>
      <c r="E655" s="453" t="s">
        <v>468</v>
      </c>
      <c r="F655" s="454">
        <v>500000</v>
      </c>
      <c r="G655" s="454">
        <v>0</v>
      </c>
      <c r="H655" s="429">
        <f>[2]Nov!I707</f>
        <v>500000</v>
      </c>
      <c r="I655" s="454">
        <f t="shared" si="282"/>
        <v>500000</v>
      </c>
      <c r="J655" s="454">
        <f t="shared" si="283"/>
        <v>0</v>
      </c>
      <c r="K655" s="452"/>
    </row>
    <row r="656" spans="1:11" hidden="1" x14ac:dyDescent="0.25">
      <c r="A656" s="477"/>
      <c r="B656" s="451"/>
      <c r="C656" s="451"/>
      <c r="D656" s="452"/>
      <c r="E656" s="453"/>
      <c r="F656" s="454"/>
      <c r="G656" s="454"/>
      <c r="H656" s="429"/>
      <c r="I656" s="454"/>
      <c r="J656" s="454"/>
      <c r="K656" s="452"/>
    </row>
    <row r="657" spans="1:11" x14ac:dyDescent="0.25">
      <c r="A657" s="485"/>
      <c r="B657" s="419">
        <v>5</v>
      </c>
      <c r="C657" s="438"/>
      <c r="D657" s="420" t="s">
        <v>620</v>
      </c>
      <c r="E657" s="418"/>
      <c r="F657" s="421">
        <f>F658+F664+F670</f>
        <v>275402500</v>
      </c>
      <c r="G657" s="421">
        <f>G658+G664+G670</f>
        <v>300000</v>
      </c>
      <c r="H657" s="421">
        <f>H658+H664+H670</f>
        <v>255211750</v>
      </c>
      <c r="I657" s="421">
        <f>I658+I664+I670</f>
        <v>255511750</v>
      </c>
      <c r="J657" s="421">
        <f>J658+J664+J670</f>
        <v>19890750</v>
      </c>
      <c r="K657" s="418"/>
    </row>
    <row r="658" spans="1:11" x14ac:dyDescent="0.25">
      <c r="A658" s="438"/>
      <c r="B658" s="419" t="s">
        <v>621</v>
      </c>
      <c r="C658" s="438"/>
      <c r="D658" s="420" t="s">
        <v>121</v>
      </c>
      <c r="E658" s="418"/>
      <c r="F658" s="421">
        <f t="shared" ref="F658:J660" si="284">F659</f>
        <v>56202500</v>
      </c>
      <c r="G658" s="421">
        <f t="shared" si="284"/>
        <v>300000</v>
      </c>
      <c r="H658" s="421">
        <f t="shared" si="284"/>
        <v>42811750</v>
      </c>
      <c r="I658" s="421">
        <f t="shared" si="284"/>
        <v>43111750</v>
      </c>
      <c r="J658" s="421">
        <f t="shared" si="284"/>
        <v>13090750</v>
      </c>
      <c r="K658" s="418"/>
    </row>
    <row r="659" spans="1:11" x14ac:dyDescent="0.25">
      <c r="A659" s="438"/>
      <c r="B659" s="419" t="s">
        <v>622</v>
      </c>
      <c r="C659" s="438"/>
      <c r="D659" s="418"/>
      <c r="E659" s="420" t="s">
        <v>623</v>
      </c>
      <c r="F659" s="421">
        <f t="shared" si="284"/>
        <v>56202500</v>
      </c>
      <c r="G659" s="421">
        <f t="shared" si="284"/>
        <v>300000</v>
      </c>
      <c r="H659" s="421">
        <f t="shared" si="284"/>
        <v>42811750</v>
      </c>
      <c r="I659" s="421">
        <f t="shared" si="284"/>
        <v>43111750</v>
      </c>
      <c r="J659" s="421">
        <f t="shared" si="284"/>
        <v>13090750</v>
      </c>
      <c r="K659" s="418"/>
    </row>
    <row r="660" spans="1:11" hidden="1" x14ac:dyDescent="0.25">
      <c r="A660" s="438"/>
      <c r="B660" s="419" t="s">
        <v>622</v>
      </c>
      <c r="C660" s="419" t="s">
        <v>624</v>
      </c>
      <c r="D660" s="418"/>
      <c r="E660" s="420" t="s">
        <v>625</v>
      </c>
      <c r="F660" s="421">
        <f t="shared" si="284"/>
        <v>56202500</v>
      </c>
      <c r="G660" s="421">
        <f t="shared" si="284"/>
        <v>300000</v>
      </c>
      <c r="H660" s="421">
        <f t="shared" si="284"/>
        <v>42811750</v>
      </c>
      <c r="I660" s="421">
        <f t="shared" si="284"/>
        <v>43111750</v>
      </c>
      <c r="J660" s="421">
        <f t="shared" si="284"/>
        <v>13090750</v>
      </c>
      <c r="K660" s="418"/>
    </row>
    <row r="661" spans="1:11" hidden="1" x14ac:dyDescent="0.25">
      <c r="A661" s="438"/>
      <c r="B661" s="423" t="s">
        <v>622</v>
      </c>
      <c r="C661" s="423" t="s">
        <v>626</v>
      </c>
      <c r="D661" s="422"/>
      <c r="E661" s="424" t="s">
        <v>625</v>
      </c>
      <c r="F661" s="425">
        <f>SUM(F662)</f>
        <v>56202500</v>
      </c>
      <c r="G661" s="425">
        <f>SUM(G662)</f>
        <v>300000</v>
      </c>
      <c r="H661" s="425">
        <f>SUM(H662)</f>
        <v>42811750</v>
      </c>
      <c r="I661" s="425">
        <f>SUM(I662)</f>
        <v>43111750</v>
      </c>
      <c r="J661" s="425">
        <f>SUM(J662)</f>
        <v>13090750</v>
      </c>
      <c r="K661" s="422"/>
    </row>
    <row r="662" spans="1:11" hidden="1" x14ac:dyDescent="0.25">
      <c r="A662" s="440"/>
      <c r="B662" s="427" t="s">
        <v>622</v>
      </c>
      <c r="C662" s="427" t="s">
        <v>627</v>
      </c>
      <c r="D662" s="426"/>
      <c r="E662" s="428" t="s">
        <v>625</v>
      </c>
      <c r="F662" s="429">
        <v>56202500</v>
      </c>
      <c r="G662" s="429">
        <v>300000</v>
      </c>
      <c r="H662" s="429">
        <f>[2]Nov!I718</f>
        <v>42811750</v>
      </c>
      <c r="I662" s="429">
        <f t="shared" ref="I662" si="285">G662+H662</f>
        <v>43111750</v>
      </c>
      <c r="J662" s="429">
        <f t="shared" ref="J662" si="286">F662-I662</f>
        <v>13090750</v>
      </c>
      <c r="K662" s="426"/>
    </row>
    <row r="663" spans="1:11" hidden="1" x14ac:dyDescent="0.25">
      <c r="A663" s="439"/>
      <c r="B663" s="427"/>
      <c r="C663" s="427"/>
      <c r="D663" s="426"/>
      <c r="E663" s="428"/>
      <c r="F663" s="429"/>
      <c r="G663" s="429"/>
      <c r="H663" s="429"/>
      <c r="I663" s="429"/>
      <c r="J663" s="429"/>
      <c r="K663" s="426"/>
    </row>
    <row r="664" spans="1:11" x14ac:dyDescent="0.25">
      <c r="A664" s="439"/>
      <c r="B664" s="419" t="s">
        <v>628</v>
      </c>
      <c r="C664" s="438"/>
      <c r="D664" s="420" t="s">
        <v>122</v>
      </c>
      <c r="E664" s="418"/>
      <c r="F664" s="421">
        <f t="shared" ref="F664:J666" si="287">F665</f>
        <v>5000000</v>
      </c>
      <c r="G664" s="421">
        <f t="shared" si="287"/>
        <v>0</v>
      </c>
      <c r="H664" s="421">
        <f t="shared" si="287"/>
        <v>0</v>
      </c>
      <c r="I664" s="421">
        <f t="shared" si="287"/>
        <v>0</v>
      </c>
      <c r="J664" s="421">
        <f t="shared" si="287"/>
        <v>5000000</v>
      </c>
      <c r="K664" s="418"/>
    </row>
    <row r="665" spans="1:11" x14ac:dyDescent="0.25">
      <c r="A665" s="438"/>
      <c r="B665" s="419" t="s">
        <v>629</v>
      </c>
      <c r="C665" s="438"/>
      <c r="D665" s="418"/>
      <c r="E665" s="420" t="s">
        <v>630</v>
      </c>
      <c r="F665" s="421">
        <f t="shared" si="287"/>
        <v>5000000</v>
      </c>
      <c r="G665" s="421">
        <f t="shared" si="287"/>
        <v>0</v>
      </c>
      <c r="H665" s="421">
        <f t="shared" si="287"/>
        <v>0</v>
      </c>
      <c r="I665" s="421">
        <f t="shared" si="287"/>
        <v>0</v>
      </c>
      <c r="J665" s="421">
        <f t="shared" si="287"/>
        <v>5000000</v>
      </c>
      <c r="K665" s="418"/>
    </row>
    <row r="666" spans="1:11" hidden="1" x14ac:dyDescent="0.25">
      <c r="A666" s="438"/>
      <c r="B666" s="419" t="s">
        <v>629</v>
      </c>
      <c r="C666" s="419" t="s">
        <v>624</v>
      </c>
      <c r="D666" s="418"/>
      <c r="E666" s="420" t="s">
        <v>625</v>
      </c>
      <c r="F666" s="421">
        <f t="shared" si="287"/>
        <v>5000000</v>
      </c>
      <c r="G666" s="421">
        <f t="shared" si="287"/>
        <v>0</v>
      </c>
      <c r="H666" s="421">
        <f t="shared" si="287"/>
        <v>0</v>
      </c>
      <c r="I666" s="421">
        <f t="shared" si="287"/>
        <v>0</v>
      </c>
      <c r="J666" s="421">
        <f t="shared" si="287"/>
        <v>5000000</v>
      </c>
      <c r="K666" s="418"/>
    </row>
    <row r="667" spans="1:11" hidden="1" x14ac:dyDescent="0.25">
      <c r="A667" s="438"/>
      <c r="B667" s="423" t="s">
        <v>629</v>
      </c>
      <c r="C667" s="423" t="s">
        <v>626</v>
      </c>
      <c r="D667" s="422"/>
      <c r="E667" s="424" t="s">
        <v>625</v>
      </c>
      <c r="F667" s="425">
        <f>SUM(F668)</f>
        <v>5000000</v>
      </c>
      <c r="G667" s="425">
        <f>SUM(G668)</f>
        <v>0</v>
      </c>
      <c r="H667" s="425">
        <f>SUM(H668)</f>
        <v>0</v>
      </c>
      <c r="I667" s="425">
        <f>SUM(I668)</f>
        <v>0</v>
      </c>
      <c r="J667" s="425">
        <f>SUM(J668)</f>
        <v>5000000</v>
      </c>
      <c r="K667" s="422"/>
    </row>
    <row r="668" spans="1:11" hidden="1" x14ac:dyDescent="0.25">
      <c r="A668" s="440"/>
      <c r="B668" s="427" t="s">
        <v>629</v>
      </c>
      <c r="C668" s="427" t="s">
        <v>627</v>
      </c>
      <c r="D668" s="426"/>
      <c r="E668" s="428" t="s">
        <v>625</v>
      </c>
      <c r="F668" s="429">
        <v>5000000</v>
      </c>
      <c r="G668" s="429">
        <v>0</v>
      </c>
      <c r="H668" s="429">
        <f>[2]Nov!I724</f>
        <v>0</v>
      </c>
      <c r="I668" s="429">
        <f t="shared" ref="I668" si="288">G668+H668</f>
        <v>0</v>
      </c>
      <c r="J668" s="429">
        <f t="shared" ref="J668" si="289">F668-I668</f>
        <v>5000000</v>
      </c>
      <c r="K668" s="426"/>
    </row>
    <row r="669" spans="1:11" hidden="1" x14ac:dyDescent="0.25">
      <c r="A669" s="439"/>
      <c r="B669" s="427"/>
      <c r="C669" s="427"/>
      <c r="D669" s="426"/>
      <c r="E669" s="428"/>
      <c r="F669" s="429"/>
      <c r="G669" s="429"/>
      <c r="H669" s="429"/>
      <c r="I669" s="429"/>
      <c r="J669" s="429"/>
      <c r="K669" s="426"/>
    </row>
    <row r="670" spans="1:11" x14ac:dyDescent="0.25">
      <c r="A670" s="439"/>
      <c r="B670" s="419" t="s">
        <v>631</v>
      </c>
      <c r="C670" s="438"/>
      <c r="D670" s="420" t="s">
        <v>632</v>
      </c>
      <c r="E670" s="418"/>
      <c r="F670" s="421">
        <f t="shared" ref="F670:J672" si="290">F671</f>
        <v>214200000</v>
      </c>
      <c r="G670" s="421">
        <f t="shared" si="290"/>
        <v>0</v>
      </c>
      <c r="H670" s="421">
        <f t="shared" si="290"/>
        <v>212400000</v>
      </c>
      <c r="I670" s="421">
        <f t="shared" si="290"/>
        <v>212400000</v>
      </c>
      <c r="J670" s="421">
        <f t="shared" si="290"/>
        <v>1800000</v>
      </c>
      <c r="K670" s="418"/>
    </row>
    <row r="671" spans="1:11" x14ac:dyDescent="0.25">
      <c r="A671" s="438"/>
      <c r="B671" s="419" t="s">
        <v>633</v>
      </c>
      <c r="C671" s="438"/>
      <c r="D671" s="418"/>
      <c r="E671" s="420" t="s">
        <v>634</v>
      </c>
      <c r="F671" s="421">
        <f t="shared" si="290"/>
        <v>214200000</v>
      </c>
      <c r="G671" s="421">
        <f t="shared" si="290"/>
        <v>0</v>
      </c>
      <c r="H671" s="421">
        <f t="shared" si="290"/>
        <v>212400000</v>
      </c>
      <c r="I671" s="421">
        <f t="shared" si="290"/>
        <v>212400000</v>
      </c>
      <c r="J671" s="421">
        <f t="shared" si="290"/>
        <v>1800000</v>
      </c>
      <c r="K671" s="418"/>
    </row>
    <row r="672" spans="1:11" ht="0.75" customHeight="1" x14ac:dyDescent="0.25">
      <c r="A672" s="438"/>
      <c r="B672" s="419" t="s">
        <v>633</v>
      </c>
      <c r="C672" s="419" t="s">
        <v>624</v>
      </c>
      <c r="D672" s="418"/>
      <c r="E672" s="420" t="s">
        <v>625</v>
      </c>
      <c r="F672" s="421">
        <f t="shared" si="290"/>
        <v>214200000</v>
      </c>
      <c r="G672" s="421">
        <f t="shared" si="290"/>
        <v>0</v>
      </c>
      <c r="H672" s="421">
        <f t="shared" si="290"/>
        <v>212400000</v>
      </c>
      <c r="I672" s="421">
        <f t="shared" si="290"/>
        <v>212400000</v>
      </c>
      <c r="J672" s="421">
        <f t="shared" si="290"/>
        <v>1800000</v>
      </c>
      <c r="K672" s="418"/>
    </row>
    <row r="673" spans="1:11" hidden="1" x14ac:dyDescent="0.25">
      <c r="A673" s="438"/>
      <c r="B673" s="423" t="s">
        <v>633</v>
      </c>
      <c r="C673" s="423" t="s">
        <v>626</v>
      </c>
      <c r="D673" s="422"/>
      <c r="E673" s="424" t="s">
        <v>625</v>
      </c>
      <c r="F673" s="425">
        <f>SUM(F674)</f>
        <v>214200000</v>
      </c>
      <c r="G673" s="425">
        <f>SUM(G674)</f>
        <v>0</v>
      </c>
      <c r="H673" s="425">
        <f>SUM(H674)</f>
        <v>212400000</v>
      </c>
      <c r="I673" s="425">
        <f>SUM(I674)</f>
        <v>212400000</v>
      </c>
      <c r="J673" s="425">
        <f>SUM(J674)</f>
        <v>1800000</v>
      </c>
      <c r="K673" s="422"/>
    </row>
    <row r="674" spans="1:11" hidden="1" x14ac:dyDescent="0.25">
      <c r="A674" s="440"/>
      <c r="B674" s="451" t="s">
        <v>633</v>
      </c>
      <c r="C674" s="451" t="s">
        <v>627</v>
      </c>
      <c r="D674" s="452"/>
      <c r="E674" s="453" t="s">
        <v>625</v>
      </c>
      <c r="F674" s="454">
        <v>214200000</v>
      </c>
      <c r="G674" s="454">
        <v>0</v>
      </c>
      <c r="H674" s="429">
        <f>[2]Nov!I730</f>
        <v>212400000</v>
      </c>
      <c r="I674" s="454">
        <f t="shared" ref="I674" si="291">G674+H674</f>
        <v>212400000</v>
      </c>
      <c r="J674" s="454">
        <f t="shared" ref="J674" si="292">F674-I674</f>
        <v>1800000</v>
      </c>
      <c r="K674" s="452"/>
    </row>
    <row r="675" spans="1:11" x14ac:dyDescent="0.25">
      <c r="A675" s="450"/>
      <c r="B675" s="470"/>
      <c r="C675" s="470"/>
      <c r="D675" s="406"/>
      <c r="E675" s="471" t="s">
        <v>20</v>
      </c>
      <c r="F675" s="472">
        <f>F42+F245+F461+F568+F657</f>
        <v>2109924518</v>
      </c>
      <c r="G675" s="472">
        <f>G42+G245+G461+G568+G657</f>
        <v>318810271</v>
      </c>
      <c r="H675" s="472">
        <f>H42+H245+H461+H568+H657</f>
        <v>1445444482</v>
      </c>
      <c r="I675" s="472">
        <f>I42+I245+I461+I568+I657</f>
        <v>1764254753</v>
      </c>
      <c r="J675" s="472">
        <f>J42+J245+J461+J568+J657</f>
        <v>345669765</v>
      </c>
      <c r="K675" s="406"/>
    </row>
    <row r="676" spans="1:11" x14ac:dyDescent="0.25">
      <c r="A676" s="470"/>
      <c r="B676" s="401"/>
      <c r="C676" s="395"/>
      <c r="D676" s="395"/>
      <c r="E676" s="395" t="s">
        <v>663</v>
      </c>
      <c r="F676" s="396">
        <f>F40-F675</f>
        <v>-44436318</v>
      </c>
      <c r="G676" s="396">
        <f>G40-G675</f>
        <v>-209510755</v>
      </c>
      <c r="H676" s="396">
        <f>H40-H675</f>
        <v>286112461</v>
      </c>
      <c r="I676" s="396">
        <f>I40-I675</f>
        <v>76601706</v>
      </c>
      <c r="J676" s="396">
        <f>J40-J675</f>
        <v>-121038024</v>
      </c>
      <c r="K676" s="401"/>
    </row>
    <row r="677" spans="1:11" x14ac:dyDescent="0.25">
      <c r="A677" s="401"/>
      <c r="B677" s="401"/>
      <c r="C677" s="398">
        <v>6</v>
      </c>
      <c r="D677" s="395"/>
      <c r="E677" s="395" t="s">
        <v>22</v>
      </c>
      <c r="F677" s="396">
        <f>F678-F681</f>
        <v>44436318</v>
      </c>
      <c r="G677" s="401"/>
      <c r="H677" s="405"/>
      <c r="I677" s="396">
        <f>I678-I681</f>
        <v>44436318</v>
      </c>
      <c r="J677" s="405"/>
      <c r="K677" s="405"/>
    </row>
    <row r="678" spans="1:11" ht="14.25" customHeight="1" x14ac:dyDescent="0.25">
      <c r="A678" s="401"/>
      <c r="B678" s="401"/>
      <c r="C678" s="399" t="s">
        <v>668</v>
      </c>
      <c r="D678" s="395"/>
      <c r="E678" s="395" t="s">
        <v>23</v>
      </c>
      <c r="F678" s="396">
        <f>F679+F680</f>
        <v>44436318</v>
      </c>
      <c r="G678" s="401"/>
      <c r="H678" s="405"/>
      <c r="I678" s="396">
        <f>I679+I680</f>
        <v>44436318</v>
      </c>
      <c r="J678" s="405"/>
      <c r="K678" s="405"/>
    </row>
    <row r="679" spans="1:11" ht="0.75" hidden="1" customHeight="1" x14ac:dyDescent="0.25">
      <c r="A679" s="401"/>
      <c r="B679" s="401"/>
      <c r="C679" s="400" t="s">
        <v>669</v>
      </c>
      <c r="D679" s="401"/>
      <c r="E679" s="401" t="s">
        <v>664</v>
      </c>
      <c r="F679" s="402">
        <v>44436318</v>
      </c>
      <c r="G679" s="401"/>
      <c r="H679" s="406"/>
      <c r="I679" s="402">
        <v>44436318</v>
      </c>
      <c r="J679" s="406"/>
      <c r="K679" s="406"/>
    </row>
    <row r="680" spans="1:11" hidden="1" x14ac:dyDescent="0.25">
      <c r="A680" s="401"/>
      <c r="B680" s="401"/>
      <c r="C680" s="400" t="s">
        <v>670</v>
      </c>
      <c r="D680" s="401"/>
      <c r="E680" s="401" t="s">
        <v>665</v>
      </c>
      <c r="F680" s="402"/>
      <c r="G680" s="401"/>
      <c r="H680" s="406"/>
      <c r="I680" s="402"/>
      <c r="J680" s="406"/>
      <c r="K680" s="406"/>
    </row>
    <row r="681" spans="1:11" x14ac:dyDescent="0.25">
      <c r="A681" s="401"/>
      <c r="B681" s="401"/>
      <c r="C681" s="399" t="s">
        <v>671</v>
      </c>
      <c r="D681" s="395"/>
      <c r="E681" s="395" t="s">
        <v>24</v>
      </c>
      <c r="F681" s="396">
        <f>F682+F683</f>
        <v>0</v>
      </c>
      <c r="G681" s="401"/>
      <c r="H681" s="407"/>
      <c r="I681" s="396">
        <f>I682+I683</f>
        <v>0</v>
      </c>
      <c r="J681" s="407"/>
      <c r="K681" s="407"/>
    </row>
    <row r="682" spans="1:11" hidden="1" x14ac:dyDescent="0.25">
      <c r="A682" s="401"/>
      <c r="B682" s="401"/>
      <c r="C682" s="400" t="s">
        <v>672</v>
      </c>
      <c r="D682" s="401"/>
      <c r="E682" s="401" t="s">
        <v>666</v>
      </c>
      <c r="F682" s="402"/>
      <c r="G682" s="401"/>
      <c r="H682" s="401"/>
      <c r="I682" s="402"/>
      <c r="J682" s="401"/>
      <c r="K682" s="401"/>
    </row>
    <row r="683" spans="1:11" hidden="1" x14ac:dyDescent="0.25">
      <c r="A683" s="401"/>
      <c r="B683" s="401"/>
      <c r="C683" s="400" t="s">
        <v>673</v>
      </c>
      <c r="D683" s="401"/>
      <c r="E683" s="401" t="s">
        <v>137</v>
      </c>
      <c r="F683" s="402"/>
      <c r="G683" s="401"/>
      <c r="H683" s="401"/>
      <c r="I683" s="402"/>
      <c r="J683" s="401"/>
      <c r="K683" s="401"/>
    </row>
    <row r="684" spans="1:11" x14ac:dyDescent="0.25">
      <c r="A684" s="401"/>
      <c r="B684" s="401"/>
      <c r="C684" s="399"/>
      <c r="D684" s="395"/>
      <c r="E684" s="395" t="s">
        <v>667</v>
      </c>
      <c r="F684" s="396">
        <f>F678-F681</f>
        <v>44436318</v>
      </c>
      <c r="G684" s="401"/>
      <c r="H684" s="401"/>
      <c r="I684" s="396">
        <f>I678-I681</f>
        <v>44436318</v>
      </c>
      <c r="J684" s="401"/>
      <c r="K684" s="401"/>
    </row>
    <row r="685" spans="1:11" x14ac:dyDescent="0.25">
      <c r="A685" s="401"/>
      <c r="B685" s="401"/>
      <c r="C685" s="399"/>
      <c r="D685" s="395"/>
      <c r="E685" s="395" t="s">
        <v>25</v>
      </c>
      <c r="F685" s="396"/>
      <c r="G685" s="401"/>
      <c r="H685" s="401"/>
      <c r="I685" s="404">
        <f>I676+I684</f>
        <v>121038024</v>
      </c>
      <c r="J685" s="401"/>
      <c r="K685" s="401"/>
    </row>
    <row r="686" spans="1:11" ht="42" customHeight="1" x14ac:dyDescent="0.25">
      <c r="I686" s="397" t="s">
        <v>1030</v>
      </c>
    </row>
    <row r="687" spans="1:11" x14ac:dyDescent="0.25">
      <c r="I687" s="474" t="s">
        <v>635</v>
      </c>
    </row>
    <row r="688" spans="1:11" x14ac:dyDescent="0.25">
      <c r="I688" s="474"/>
    </row>
    <row r="689" spans="9:9" x14ac:dyDescent="0.25">
      <c r="I689" s="474"/>
    </row>
    <row r="690" spans="9:9" x14ac:dyDescent="0.25">
      <c r="I690" s="474"/>
    </row>
    <row r="691" spans="9:9" x14ac:dyDescent="0.25">
      <c r="I691" s="475" t="s">
        <v>1031</v>
      </c>
    </row>
  </sheetData>
  <mergeCells count="11">
    <mergeCell ref="D43:E43"/>
    <mergeCell ref="D121:E121"/>
    <mergeCell ref="D146:E146"/>
    <mergeCell ref="F2:K2"/>
    <mergeCell ref="A4:A6"/>
    <mergeCell ref="B4:C6"/>
    <mergeCell ref="D4:E6"/>
    <mergeCell ref="F4:F5"/>
    <mergeCell ref="I4:I5"/>
    <mergeCell ref="J4:J5"/>
    <mergeCell ref="K4:K6"/>
  </mergeCells>
  <pageMargins left="0.70866141732283472" right="0.19685039370078741" top="0.59055118110236227" bottom="1.1417322834645669" header="0.31496062992125984" footer="0.31496062992125984"/>
  <pageSetup paperSize="5" scale="7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2"/>
  <sheetViews>
    <sheetView workbookViewId="0">
      <selection activeCell="F2" sqref="F2:K2"/>
    </sheetView>
  </sheetViews>
  <sheetFormatPr defaultRowHeight="15" x14ac:dyDescent="0.25"/>
  <cols>
    <col min="1" max="1" width="4.85546875" style="397" customWidth="1"/>
    <col min="2" max="2" width="6.7109375" style="397" customWidth="1"/>
    <col min="3" max="3" width="7.28515625" style="397" customWidth="1"/>
    <col min="4" max="4" width="3" style="397" customWidth="1"/>
    <col min="5" max="5" width="52.28515625" style="397" customWidth="1"/>
    <col min="6" max="6" width="15.42578125" style="473" customWidth="1"/>
    <col min="7" max="7" width="15.28515625" style="397" hidden="1" customWidth="1"/>
    <col min="8" max="8" width="0.140625" style="397" hidden="1" customWidth="1"/>
    <col min="9" max="10" width="15.5703125" style="397" hidden="1" customWidth="1"/>
    <col min="11" max="11" width="9.140625" style="397"/>
  </cols>
  <sheetData>
    <row r="1" spans="1:11" ht="15.75" customHeight="1" x14ac:dyDescent="0.25">
      <c r="A1" s="552"/>
      <c r="B1" s="552"/>
      <c r="C1" s="552"/>
      <c r="D1" s="552"/>
      <c r="E1" s="552"/>
      <c r="F1" s="552" t="s">
        <v>741</v>
      </c>
      <c r="G1" s="552"/>
      <c r="H1" s="552"/>
      <c r="I1" s="552"/>
      <c r="J1" s="552"/>
      <c r="K1" s="552"/>
    </row>
    <row r="2" spans="1:11" ht="72.75" customHeight="1" x14ac:dyDescent="0.25">
      <c r="A2" s="553"/>
      <c r="B2" s="553"/>
      <c r="C2" s="553"/>
      <c r="D2" s="553"/>
      <c r="E2" s="553"/>
      <c r="F2" s="554" t="s">
        <v>1044</v>
      </c>
      <c r="G2" s="554"/>
      <c r="H2" s="554"/>
      <c r="I2" s="554"/>
      <c r="J2" s="554"/>
      <c r="K2" s="554"/>
    </row>
    <row r="3" spans="1:11" x14ac:dyDescent="0.25">
      <c r="A3" s="403"/>
      <c r="B3" s="403"/>
      <c r="C3" s="408"/>
      <c r="D3" s="403"/>
      <c r="E3" s="403"/>
      <c r="F3" s="403"/>
      <c r="G3" s="403"/>
      <c r="H3" s="403"/>
      <c r="I3" s="403"/>
      <c r="J3" s="403"/>
      <c r="K3" s="403"/>
    </row>
    <row r="4" spans="1:11" x14ac:dyDescent="0.25">
      <c r="A4" s="543" t="s">
        <v>279</v>
      </c>
      <c r="B4" s="544" t="s">
        <v>280</v>
      </c>
      <c r="C4" s="544"/>
      <c r="D4" s="545" t="s">
        <v>1028</v>
      </c>
      <c r="E4" s="545"/>
      <c r="F4" s="546" t="s">
        <v>1033</v>
      </c>
      <c r="G4" s="409" t="s">
        <v>281</v>
      </c>
      <c r="H4" s="409" t="s">
        <v>281</v>
      </c>
      <c r="I4" s="548" t="s">
        <v>1026</v>
      </c>
      <c r="J4" s="550" t="s">
        <v>1027</v>
      </c>
      <c r="K4" s="543" t="s">
        <v>282</v>
      </c>
    </row>
    <row r="5" spans="1:11" ht="25.5" customHeight="1" x14ac:dyDescent="0.25">
      <c r="A5" s="543"/>
      <c r="B5" s="544"/>
      <c r="C5" s="544"/>
      <c r="D5" s="545"/>
      <c r="E5" s="545"/>
      <c r="F5" s="547"/>
      <c r="G5" s="486" t="s">
        <v>283</v>
      </c>
      <c r="H5" s="410" t="s">
        <v>284</v>
      </c>
      <c r="I5" s="549"/>
      <c r="J5" s="551"/>
      <c r="K5" s="543"/>
    </row>
    <row r="6" spans="1:11" x14ac:dyDescent="0.25">
      <c r="A6" s="543"/>
      <c r="B6" s="544"/>
      <c r="C6" s="544"/>
      <c r="D6" s="545"/>
      <c r="E6" s="545"/>
      <c r="F6" s="412" t="s">
        <v>286</v>
      </c>
      <c r="G6" s="413" t="s">
        <v>286</v>
      </c>
      <c r="H6" s="412" t="s">
        <v>286</v>
      </c>
      <c r="I6" s="413" t="s">
        <v>286</v>
      </c>
      <c r="J6" s="412" t="s">
        <v>286</v>
      </c>
      <c r="K6" s="543"/>
    </row>
    <row r="7" spans="1:11" x14ac:dyDescent="0.25">
      <c r="A7" s="414"/>
      <c r="B7" s="414"/>
      <c r="C7" s="415">
        <v>4</v>
      </c>
      <c r="D7" s="416" t="s">
        <v>1</v>
      </c>
      <c r="E7" s="414"/>
      <c r="F7" s="417"/>
      <c r="G7" s="417"/>
      <c r="H7" s="417"/>
      <c r="I7" s="417"/>
      <c r="J7" s="417"/>
      <c r="K7" s="414"/>
    </row>
    <row r="8" spans="1:11" ht="14.25" customHeight="1" x14ac:dyDescent="0.25">
      <c r="A8" s="418"/>
      <c r="B8" s="418"/>
      <c r="C8" s="419" t="s">
        <v>287</v>
      </c>
      <c r="D8" s="418"/>
      <c r="E8" s="420" t="s">
        <v>2</v>
      </c>
      <c r="F8" s="421">
        <f>F9+F13</f>
        <v>70304900</v>
      </c>
      <c r="G8" s="421">
        <f>G9+G13</f>
        <v>25077500</v>
      </c>
      <c r="H8" s="421">
        <f>H9+H13</f>
        <v>44754900</v>
      </c>
      <c r="I8" s="421">
        <f>I9+I13</f>
        <v>69832400</v>
      </c>
      <c r="J8" s="421">
        <f>J9+J13</f>
        <v>472500</v>
      </c>
      <c r="K8" s="418"/>
    </row>
    <row r="9" spans="1:11" hidden="1" x14ac:dyDescent="0.25">
      <c r="A9" s="422"/>
      <c r="B9" s="422"/>
      <c r="C9" s="423" t="s">
        <v>288</v>
      </c>
      <c r="D9" s="422"/>
      <c r="E9" s="424" t="s">
        <v>289</v>
      </c>
      <c r="F9" s="425">
        <f>SUM(F10:F11)</f>
        <v>2500000</v>
      </c>
      <c r="G9" s="425">
        <f>SUM(G10:G11)</f>
        <v>2027500</v>
      </c>
      <c r="H9" s="425">
        <f>SUM(H10:H11)</f>
        <v>0</v>
      </c>
      <c r="I9" s="425">
        <f>SUM(I10:I11)</f>
        <v>2027500</v>
      </c>
      <c r="J9" s="425">
        <f>SUM(J10:J11)</f>
        <v>472500</v>
      </c>
      <c r="K9" s="422"/>
    </row>
    <row r="10" spans="1:11" hidden="1" x14ac:dyDescent="0.25">
      <c r="A10" s="426"/>
      <c r="B10" s="426"/>
      <c r="C10" s="427" t="s">
        <v>290</v>
      </c>
      <c r="D10" s="426"/>
      <c r="E10" s="428" t="s">
        <v>291</v>
      </c>
      <c r="F10" s="429">
        <v>1550000</v>
      </c>
      <c r="G10" s="429">
        <v>858500</v>
      </c>
      <c r="H10" s="429">
        <f>[2]Nov!I13</f>
        <v>0</v>
      </c>
      <c r="I10" s="429">
        <f>G10+H10</f>
        <v>858500</v>
      </c>
      <c r="J10" s="429">
        <f>F10-I10</f>
        <v>691500</v>
      </c>
      <c r="K10" s="426"/>
    </row>
    <row r="11" spans="1:11" hidden="1" x14ac:dyDescent="0.25">
      <c r="A11" s="426"/>
      <c r="B11" s="426"/>
      <c r="C11" s="427" t="s">
        <v>292</v>
      </c>
      <c r="D11" s="426"/>
      <c r="E11" s="428" t="s">
        <v>293</v>
      </c>
      <c r="F11" s="429">
        <v>950000</v>
      </c>
      <c r="G11" s="429">
        <v>1169000</v>
      </c>
      <c r="H11" s="429">
        <f>[2]Nov!I14</f>
        <v>0</v>
      </c>
      <c r="I11" s="429">
        <f>G11+H11</f>
        <v>1169000</v>
      </c>
      <c r="J11" s="429">
        <f>F11-I11</f>
        <v>-219000</v>
      </c>
      <c r="K11" s="426"/>
    </row>
    <row r="12" spans="1:11" hidden="1" x14ac:dyDescent="0.25">
      <c r="A12" s="426"/>
      <c r="B12" s="426"/>
      <c r="C12" s="427"/>
      <c r="D12" s="426"/>
      <c r="E12" s="428"/>
      <c r="F12" s="429"/>
      <c r="G12" s="429"/>
      <c r="H12" s="429"/>
      <c r="I12" s="429"/>
      <c r="J12" s="429"/>
      <c r="K12" s="426"/>
    </row>
    <row r="13" spans="1:11" ht="0.75" hidden="1" customHeight="1" x14ac:dyDescent="0.25">
      <c r="A13" s="422"/>
      <c r="B13" s="422"/>
      <c r="C13" s="423" t="s">
        <v>294</v>
      </c>
      <c r="D13" s="422"/>
      <c r="E13" s="424" t="s">
        <v>295</v>
      </c>
      <c r="F13" s="425">
        <f>SUM(F14:F16)</f>
        <v>67804900</v>
      </c>
      <c r="G13" s="425">
        <f>SUM(G14:G16)</f>
        <v>23050000</v>
      </c>
      <c r="H13" s="425">
        <f>SUM(H14:H16)</f>
        <v>44754900</v>
      </c>
      <c r="I13" s="425">
        <f>SUM(I14:I16)</f>
        <v>67804900</v>
      </c>
      <c r="J13" s="425">
        <f>SUM(J14:J16)</f>
        <v>0</v>
      </c>
      <c r="K13" s="422"/>
    </row>
    <row r="14" spans="1:11" hidden="1" x14ac:dyDescent="0.25">
      <c r="A14" s="426"/>
      <c r="B14" s="426"/>
      <c r="C14" s="427" t="s">
        <v>296</v>
      </c>
      <c r="D14" s="426"/>
      <c r="E14" s="428" t="s">
        <v>297</v>
      </c>
      <c r="F14" s="429">
        <v>46950000</v>
      </c>
      <c r="G14" s="429">
        <v>10050000</v>
      </c>
      <c r="H14" s="429">
        <f>[2]Nov!I17</f>
        <v>36900000</v>
      </c>
      <c r="I14" s="429">
        <f t="shared" ref="I14:I16" si="0">G14+H14</f>
        <v>46950000</v>
      </c>
      <c r="J14" s="429">
        <f t="shared" ref="J14:J16" si="1">F14-I14</f>
        <v>0</v>
      </c>
      <c r="K14" s="426"/>
    </row>
    <row r="15" spans="1:11" hidden="1" x14ac:dyDescent="0.25">
      <c r="A15" s="426"/>
      <c r="B15" s="426"/>
      <c r="C15" s="427" t="s">
        <v>298</v>
      </c>
      <c r="D15" s="426"/>
      <c r="E15" s="428" t="s">
        <v>299</v>
      </c>
      <c r="F15" s="429">
        <v>13000000</v>
      </c>
      <c r="G15" s="429">
        <v>13000000</v>
      </c>
      <c r="H15" s="429">
        <f>[2]Nov!I18</f>
        <v>0</v>
      </c>
      <c r="I15" s="429">
        <f t="shared" si="0"/>
        <v>13000000</v>
      </c>
      <c r="J15" s="429">
        <f t="shared" si="1"/>
        <v>0</v>
      </c>
      <c r="K15" s="426"/>
    </row>
    <row r="16" spans="1:11" hidden="1" x14ac:dyDescent="0.25">
      <c r="A16" s="426"/>
      <c r="B16" s="426"/>
      <c r="C16" s="427" t="s">
        <v>300</v>
      </c>
      <c r="D16" s="426"/>
      <c r="E16" s="428" t="s">
        <v>301</v>
      </c>
      <c r="F16" s="429">
        <v>7854900</v>
      </c>
      <c r="G16" s="429">
        <v>0</v>
      </c>
      <c r="H16" s="429">
        <f>[2]Nov!I19</f>
        <v>7854900</v>
      </c>
      <c r="I16" s="429">
        <f t="shared" si="0"/>
        <v>7854900</v>
      </c>
      <c r="J16" s="429">
        <f t="shared" si="1"/>
        <v>0</v>
      </c>
      <c r="K16" s="426"/>
    </row>
    <row r="17" spans="1:11" hidden="1" x14ac:dyDescent="0.25">
      <c r="A17" s="426"/>
      <c r="B17" s="426"/>
      <c r="C17" s="427"/>
      <c r="D17" s="426"/>
      <c r="E17" s="428"/>
      <c r="F17" s="429"/>
      <c r="G17" s="429"/>
      <c r="H17" s="429"/>
      <c r="I17" s="429"/>
      <c r="J17" s="429"/>
      <c r="K17" s="426"/>
    </row>
    <row r="18" spans="1:11" x14ac:dyDescent="0.25">
      <c r="A18" s="418"/>
      <c r="B18" s="418"/>
      <c r="C18" s="419" t="s">
        <v>302</v>
      </c>
      <c r="D18" s="418"/>
      <c r="E18" s="420" t="s">
        <v>3</v>
      </c>
      <c r="F18" s="421">
        <f>F19+F22+F25+F28</f>
        <v>1965168300</v>
      </c>
      <c r="G18" s="421">
        <f>G19+G22+G25+G28</f>
        <v>56039525</v>
      </c>
      <c r="H18" s="421">
        <f>H19+H22+H25+H28</f>
        <v>1685137950</v>
      </c>
      <c r="I18" s="421">
        <f>I19+I22+I25+I28</f>
        <v>1741177475</v>
      </c>
      <c r="J18" s="421">
        <f>J19+J22+J25+J28</f>
        <v>223990825</v>
      </c>
      <c r="K18" s="418"/>
    </row>
    <row r="19" spans="1:11" x14ac:dyDescent="0.25">
      <c r="A19" s="422"/>
      <c r="B19" s="422"/>
      <c r="C19" s="423" t="s">
        <v>303</v>
      </c>
      <c r="D19" s="422"/>
      <c r="E19" s="424" t="s">
        <v>4</v>
      </c>
      <c r="F19" s="425">
        <f>F20</f>
        <v>968086000</v>
      </c>
      <c r="G19" s="425">
        <f>G20</f>
        <v>0</v>
      </c>
      <c r="H19" s="425">
        <f>H20</f>
        <v>968086000</v>
      </c>
      <c r="I19" s="425">
        <f>I20</f>
        <v>968086000</v>
      </c>
      <c r="J19" s="425">
        <f>J20</f>
        <v>0</v>
      </c>
      <c r="K19" s="422"/>
    </row>
    <row r="20" spans="1:11" hidden="1" x14ac:dyDescent="0.25">
      <c r="A20" s="426"/>
      <c r="B20" s="426"/>
      <c r="C20" s="427" t="s">
        <v>304</v>
      </c>
      <c r="D20" s="426"/>
      <c r="E20" s="428" t="s">
        <v>4</v>
      </c>
      <c r="F20" s="429">
        <v>968086000</v>
      </c>
      <c r="G20" s="429">
        <v>0</v>
      </c>
      <c r="H20" s="429">
        <f>[2]Nov!I23</f>
        <v>968086000</v>
      </c>
      <c r="I20" s="429">
        <f>G20+H20</f>
        <v>968086000</v>
      </c>
      <c r="J20" s="429">
        <f>F20-I20</f>
        <v>0</v>
      </c>
      <c r="K20" s="426"/>
    </row>
    <row r="21" spans="1:11" hidden="1" x14ac:dyDescent="0.25">
      <c r="A21" s="426"/>
      <c r="B21" s="426"/>
      <c r="C21" s="427"/>
      <c r="D21" s="426"/>
      <c r="E21" s="428"/>
      <c r="F21" s="429"/>
      <c r="G21" s="429"/>
      <c r="H21" s="429"/>
      <c r="I21" s="429"/>
      <c r="J21" s="429"/>
      <c r="K21" s="426"/>
    </row>
    <row r="22" spans="1:11" x14ac:dyDescent="0.25">
      <c r="A22" s="422"/>
      <c r="B22" s="422"/>
      <c r="C22" s="423" t="s">
        <v>305</v>
      </c>
      <c r="D22" s="422"/>
      <c r="E22" s="424" t="s">
        <v>306</v>
      </c>
      <c r="F22" s="425">
        <f>F23</f>
        <v>34382300</v>
      </c>
      <c r="G22" s="425">
        <f>G23</f>
        <v>0</v>
      </c>
      <c r="H22" s="425">
        <f>H23</f>
        <v>48582800</v>
      </c>
      <c r="I22" s="425">
        <f>I23</f>
        <v>48582800</v>
      </c>
      <c r="J22" s="425">
        <f>J23</f>
        <v>-14200500</v>
      </c>
      <c r="K22" s="422"/>
    </row>
    <row r="23" spans="1:11" hidden="1" x14ac:dyDescent="0.25">
      <c r="A23" s="426"/>
      <c r="B23" s="426"/>
      <c r="C23" s="427" t="s">
        <v>307</v>
      </c>
      <c r="D23" s="426"/>
      <c r="E23" s="428" t="s">
        <v>308</v>
      </c>
      <c r="F23" s="429">
        <v>34382300</v>
      </c>
      <c r="G23" s="429">
        <v>0</v>
      </c>
      <c r="H23" s="429">
        <f>[2]Nov!I26</f>
        <v>48582800</v>
      </c>
      <c r="I23" s="429">
        <f>G23+H23</f>
        <v>48582800</v>
      </c>
      <c r="J23" s="429">
        <f>F23-I23</f>
        <v>-14200500</v>
      </c>
      <c r="K23" s="426"/>
    </row>
    <row r="24" spans="1:11" hidden="1" x14ac:dyDescent="0.25">
      <c r="A24" s="426"/>
      <c r="B24" s="426"/>
      <c r="C24" s="427"/>
      <c r="D24" s="426"/>
      <c r="E24" s="428"/>
      <c r="F24" s="429"/>
      <c r="G24" s="429"/>
      <c r="H24" s="429"/>
      <c r="I24" s="429"/>
      <c r="J24" s="429"/>
      <c r="K24" s="426"/>
    </row>
    <row r="25" spans="1:11" x14ac:dyDescent="0.25">
      <c r="A25" s="422"/>
      <c r="B25" s="422"/>
      <c r="C25" s="423" t="s">
        <v>309</v>
      </c>
      <c r="D25" s="422"/>
      <c r="E25" s="424" t="s">
        <v>6</v>
      </c>
      <c r="F25" s="425">
        <f>F26</f>
        <v>727200000</v>
      </c>
      <c r="G25" s="425">
        <f>G26</f>
        <v>56039525</v>
      </c>
      <c r="H25" s="425">
        <f>H26</f>
        <v>668469150</v>
      </c>
      <c r="I25" s="425">
        <f>I26</f>
        <v>724508675</v>
      </c>
      <c r="J25" s="425">
        <f>J26</f>
        <v>2691325</v>
      </c>
      <c r="K25" s="422"/>
    </row>
    <row r="26" spans="1:11" hidden="1" x14ac:dyDescent="0.25">
      <c r="A26" s="426"/>
      <c r="B26" s="426"/>
      <c r="C26" s="427" t="s">
        <v>310</v>
      </c>
      <c r="D26" s="426"/>
      <c r="E26" s="428" t="s">
        <v>6</v>
      </c>
      <c r="F26" s="429">
        <v>727200000</v>
      </c>
      <c r="G26" s="429">
        <v>56039525</v>
      </c>
      <c r="H26" s="429">
        <f>[2]Nov!I29</f>
        <v>668469150</v>
      </c>
      <c r="I26" s="429">
        <f>G26+H26</f>
        <v>724508675</v>
      </c>
      <c r="J26" s="429">
        <f>F26-I26</f>
        <v>2691325</v>
      </c>
      <c r="K26" s="426"/>
    </row>
    <row r="27" spans="1:11" hidden="1" x14ac:dyDescent="0.25">
      <c r="A27" s="426"/>
      <c r="B27" s="426"/>
      <c r="C27" s="427"/>
      <c r="D27" s="426"/>
      <c r="E27" s="428"/>
      <c r="F27" s="429"/>
      <c r="G27" s="429"/>
      <c r="H27" s="429"/>
      <c r="I27" s="429"/>
      <c r="J27" s="429"/>
      <c r="K27" s="426"/>
    </row>
    <row r="28" spans="1:11" x14ac:dyDescent="0.25">
      <c r="A28" s="422"/>
      <c r="B28" s="422"/>
      <c r="C28" s="423" t="s">
        <v>311</v>
      </c>
      <c r="D28" s="422"/>
      <c r="E28" s="424" t="s">
        <v>312</v>
      </c>
      <c r="F28" s="425">
        <f>F29</f>
        <v>235500000</v>
      </c>
      <c r="G28" s="425">
        <f>G29</f>
        <v>0</v>
      </c>
      <c r="H28" s="425">
        <f>H29</f>
        <v>0</v>
      </c>
      <c r="I28" s="425">
        <f>I29</f>
        <v>0</v>
      </c>
      <c r="J28" s="425">
        <f>J29</f>
        <v>235500000</v>
      </c>
      <c r="K28" s="422"/>
    </row>
    <row r="29" spans="1:11" hidden="1" x14ac:dyDescent="0.25">
      <c r="A29" s="426"/>
      <c r="B29" s="426"/>
      <c r="C29" s="427" t="s">
        <v>313</v>
      </c>
      <c r="D29" s="426"/>
      <c r="E29" s="428" t="s">
        <v>314</v>
      </c>
      <c r="F29" s="429">
        <v>235500000</v>
      </c>
      <c r="G29" s="429">
        <v>0</v>
      </c>
      <c r="H29" s="429">
        <f>[2]Nov!I32</f>
        <v>0</v>
      </c>
      <c r="I29" s="429">
        <f>G29+H29</f>
        <v>0</v>
      </c>
      <c r="J29" s="429">
        <f>F29-I29</f>
        <v>235500000</v>
      </c>
      <c r="K29" s="426"/>
    </row>
    <row r="30" spans="1:11" hidden="1" x14ac:dyDescent="0.25">
      <c r="A30" s="426"/>
      <c r="B30" s="426"/>
      <c r="C30" s="427"/>
      <c r="D30" s="426"/>
      <c r="E30" s="428"/>
      <c r="F30" s="429"/>
      <c r="G30" s="429"/>
      <c r="H30" s="429"/>
      <c r="I30" s="429"/>
      <c r="J30" s="429"/>
      <c r="K30" s="426"/>
    </row>
    <row r="31" spans="1:11" ht="12.75" customHeight="1" x14ac:dyDescent="0.25">
      <c r="A31" s="418"/>
      <c r="B31" s="418"/>
      <c r="C31" s="419" t="s">
        <v>315</v>
      </c>
      <c r="D31" s="418"/>
      <c r="E31" s="420" t="s">
        <v>316</v>
      </c>
      <c r="F31" s="421">
        <f>F32+F35+F38</f>
        <v>30015000</v>
      </c>
      <c r="G31" s="421">
        <f>G32+G35+G38</f>
        <v>28182491</v>
      </c>
      <c r="H31" s="421">
        <f>H32+H35+H38</f>
        <v>1664093</v>
      </c>
      <c r="I31" s="421">
        <f>I32+I35+I38</f>
        <v>29846584</v>
      </c>
      <c r="J31" s="421">
        <f>J32+J35+J38</f>
        <v>168416</v>
      </c>
      <c r="K31" s="418"/>
    </row>
    <row r="32" spans="1:11" hidden="1" x14ac:dyDescent="0.25">
      <c r="A32" s="422"/>
      <c r="B32" s="422"/>
      <c r="C32" s="423" t="s">
        <v>317</v>
      </c>
      <c r="D32" s="422"/>
      <c r="E32" s="424" t="s">
        <v>318</v>
      </c>
      <c r="F32" s="425">
        <f>F33</f>
        <v>13015000</v>
      </c>
      <c r="G32" s="425">
        <f>G33</f>
        <v>13015000</v>
      </c>
      <c r="H32" s="425">
        <f>H33</f>
        <v>0</v>
      </c>
      <c r="I32" s="425">
        <f>I33</f>
        <v>13015000</v>
      </c>
      <c r="J32" s="425">
        <f>J33</f>
        <v>0</v>
      </c>
      <c r="K32" s="422"/>
    </row>
    <row r="33" spans="1:11" hidden="1" x14ac:dyDescent="0.25">
      <c r="A33" s="426"/>
      <c r="B33" s="426"/>
      <c r="C33" s="427" t="s">
        <v>319</v>
      </c>
      <c r="D33" s="426"/>
      <c r="E33" s="428" t="s">
        <v>318</v>
      </c>
      <c r="F33" s="429">
        <v>13015000</v>
      </c>
      <c r="G33" s="429">
        <v>13015000</v>
      </c>
      <c r="H33" s="429">
        <f>[2]Nov!I36</f>
        <v>0</v>
      </c>
      <c r="I33" s="429">
        <f>G33+H33</f>
        <v>13015000</v>
      </c>
      <c r="J33" s="429">
        <f>F33-I33</f>
        <v>0</v>
      </c>
      <c r="K33" s="426"/>
    </row>
    <row r="34" spans="1:11" hidden="1" x14ac:dyDescent="0.25">
      <c r="A34" s="426"/>
      <c r="B34" s="426"/>
      <c r="C34" s="427"/>
      <c r="D34" s="426"/>
      <c r="E34" s="428"/>
      <c r="F34" s="429"/>
      <c r="G34" s="429"/>
      <c r="H34" s="429"/>
      <c r="I34" s="429"/>
      <c r="J34" s="429"/>
      <c r="K34" s="426"/>
    </row>
    <row r="35" spans="1:11" ht="0.75" hidden="1" customHeight="1" x14ac:dyDescent="0.25">
      <c r="A35" s="422"/>
      <c r="B35" s="422"/>
      <c r="C35" s="423" t="s">
        <v>320</v>
      </c>
      <c r="D35" s="422"/>
      <c r="E35" s="424" t="s">
        <v>141</v>
      </c>
      <c r="F35" s="425">
        <f>F36</f>
        <v>3000000</v>
      </c>
      <c r="G35" s="425">
        <f>G36</f>
        <v>77150</v>
      </c>
      <c r="H35" s="425">
        <f>H36</f>
        <v>1664093</v>
      </c>
      <c r="I35" s="425">
        <f>I36</f>
        <v>1741243</v>
      </c>
      <c r="J35" s="425">
        <f>J36</f>
        <v>1258757</v>
      </c>
      <c r="K35" s="422"/>
    </row>
    <row r="36" spans="1:11" hidden="1" x14ac:dyDescent="0.25">
      <c r="A36" s="426"/>
      <c r="B36" s="426"/>
      <c r="C36" s="427" t="s">
        <v>321</v>
      </c>
      <c r="D36" s="426"/>
      <c r="E36" s="428" t="s">
        <v>141</v>
      </c>
      <c r="F36" s="429">
        <v>3000000</v>
      </c>
      <c r="G36" s="429">
        <f>104563-6500-20913</f>
        <v>77150</v>
      </c>
      <c r="H36" s="429">
        <f>[2]Nov!I39</f>
        <v>1664093</v>
      </c>
      <c r="I36" s="429">
        <f>G36+H36</f>
        <v>1741243</v>
      </c>
      <c r="J36" s="429">
        <f>F36-I36</f>
        <v>1258757</v>
      </c>
      <c r="K36" s="426"/>
    </row>
    <row r="37" spans="1:11" hidden="1" x14ac:dyDescent="0.25">
      <c r="A37" s="426"/>
      <c r="B37" s="426"/>
      <c r="C37" s="427"/>
      <c r="D37" s="426"/>
      <c r="E37" s="428"/>
      <c r="F37" s="429"/>
      <c r="G37" s="429"/>
      <c r="H37" s="429"/>
      <c r="I37" s="429"/>
      <c r="J37" s="429"/>
      <c r="K37" s="426"/>
    </row>
    <row r="38" spans="1:11" hidden="1" x14ac:dyDescent="0.25">
      <c r="A38" s="422"/>
      <c r="B38" s="422"/>
      <c r="C38" s="423" t="s">
        <v>322</v>
      </c>
      <c r="D38" s="422"/>
      <c r="E38" s="424" t="s">
        <v>323</v>
      </c>
      <c r="F38" s="425">
        <f>F39</f>
        <v>14000000</v>
      </c>
      <c r="G38" s="425">
        <f>G39</f>
        <v>15090341</v>
      </c>
      <c r="H38" s="425">
        <f>H39</f>
        <v>0</v>
      </c>
      <c r="I38" s="425">
        <f>I39</f>
        <v>15090341</v>
      </c>
      <c r="J38" s="425">
        <f>J39</f>
        <v>-1090341</v>
      </c>
      <c r="K38" s="422"/>
    </row>
    <row r="39" spans="1:11" hidden="1" x14ac:dyDescent="0.25">
      <c r="A39" s="426"/>
      <c r="B39" s="426"/>
      <c r="C39" s="427" t="s">
        <v>324</v>
      </c>
      <c r="D39" s="426"/>
      <c r="E39" s="428" t="s">
        <v>325</v>
      </c>
      <c r="F39" s="429">
        <v>14000000</v>
      </c>
      <c r="G39" s="429">
        <v>15090341</v>
      </c>
      <c r="H39" s="429">
        <f>[2]Nov!I42</f>
        <v>0</v>
      </c>
      <c r="I39" s="429">
        <f>G39+H39</f>
        <v>15090341</v>
      </c>
      <c r="J39" s="429">
        <f>F39-I39</f>
        <v>-1090341</v>
      </c>
      <c r="K39" s="426"/>
    </row>
    <row r="40" spans="1:11" x14ac:dyDescent="0.25">
      <c r="A40" s="430"/>
      <c r="B40" s="430"/>
      <c r="C40" s="431"/>
      <c r="D40" s="430"/>
      <c r="E40" s="432" t="s">
        <v>10</v>
      </c>
      <c r="F40" s="433">
        <f>F8+F18+F31</f>
        <v>2065488200</v>
      </c>
      <c r="G40" s="433">
        <f>G8+G18+G31</f>
        <v>109299516</v>
      </c>
      <c r="H40" s="433">
        <f>H8+H18+H31</f>
        <v>1731556943</v>
      </c>
      <c r="I40" s="433">
        <f>I8+I18+I31</f>
        <v>1840856459</v>
      </c>
      <c r="J40" s="433">
        <f>J8+J18+J31</f>
        <v>224631741</v>
      </c>
      <c r="K40" s="430"/>
    </row>
    <row r="41" spans="1:11" x14ac:dyDescent="0.25">
      <c r="A41" s="434"/>
      <c r="B41" s="434"/>
      <c r="C41" s="435">
        <v>5</v>
      </c>
      <c r="D41" s="416" t="s">
        <v>14</v>
      </c>
      <c r="E41" s="434"/>
      <c r="F41" s="436"/>
      <c r="G41" s="436"/>
      <c r="H41" s="436"/>
      <c r="I41" s="436"/>
      <c r="J41" s="436"/>
      <c r="K41" s="434"/>
    </row>
    <row r="42" spans="1:11" x14ac:dyDescent="0.25">
      <c r="A42" s="437"/>
      <c r="B42" s="419">
        <v>1</v>
      </c>
      <c r="C42" s="438"/>
      <c r="D42" s="420" t="s">
        <v>327</v>
      </c>
      <c r="E42" s="418"/>
      <c r="F42" s="421">
        <f>F43+F105+F121+F146+F218</f>
        <v>870258856</v>
      </c>
      <c r="G42" s="421">
        <f>G43+G105+G121+G146+G218</f>
        <v>113353621</v>
      </c>
      <c r="H42" s="421">
        <f>H43+H105+H121+H146+H218</f>
        <v>743058282</v>
      </c>
      <c r="I42" s="421">
        <f>I43+I105+I121+I146+I218</f>
        <v>856411903</v>
      </c>
      <c r="J42" s="421">
        <f>J43+J105+J121+J146+J218</f>
        <v>13846953</v>
      </c>
      <c r="K42" s="418"/>
    </row>
    <row r="43" spans="1:11" x14ac:dyDescent="0.25">
      <c r="A43" s="439"/>
      <c r="B43" s="419" t="s">
        <v>328</v>
      </c>
      <c r="C43" s="439"/>
      <c r="D43" s="540" t="s">
        <v>329</v>
      </c>
      <c r="E43" s="540"/>
      <c r="F43" s="421">
        <f>F44+F50+F56+F64+F82+F88+F98</f>
        <v>701757940</v>
      </c>
      <c r="G43" s="421">
        <f>G44+G50+G56+G64+G82+G88+G98</f>
        <v>58386321</v>
      </c>
      <c r="H43" s="421">
        <f>H44+H50+H56+H64+H82+H88+H98</f>
        <v>635188458</v>
      </c>
      <c r="I43" s="421">
        <f>I44+I50+I56+I64+I82+I88+I98</f>
        <v>693574779</v>
      </c>
      <c r="J43" s="421">
        <f>J44+J50+J56+J64+J82+J88+J98</f>
        <v>8183161</v>
      </c>
      <c r="K43" s="426"/>
    </row>
    <row r="44" spans="1:11" ht="13.5" customHeight="1" x14ac:dyDescent="0.25">
      <c r="A44" s="439"/>
      <c r="B44" s="419" t="s">
        <v>330</v>
      </c>
      <c r="C44" s="439"/>
      <c r="D44" s="426"/>
      <c r="E44" s="420" t="s">
        <v>331</v>
      </c>
      <c r="F44" s="421">
        <f t="shared" ref="F44:J45" si="2">F45</f>
        <v>39000000</v>
      </c>
      <c r="G44" s="421">
        <f t="shared" si="2"/>
        <v>2970000</v>
      </c>
      <c r="H44" s="421">
        <f t="shared" si="2"/>
        <v>35820000</v>
      </c>
      <c r="I44" s="421">
        <f t="shared" si="2"/>
        <v>38790000</v>
      </c>
      <c r="J44" s="421">
        <f t="shared" si="2"/>
        <v>210000</v>
      </c>
      <c r="K44" s="426"/>
    </row>
    <row r="45" spans="1:11" ht="0.75" hidden="1" customHeight="1" x14ac:dyDescent="0.25">
      <c r="A45" s="438"/>
      <c r="B45" s="419" t="s">
        <v>330</v>
      </c>
      <c r="C45" s="419" t="s">
        <v>332</v>
      </c>
      <c r="D45" s="418"/>
      <c r="E45" s="420" t="s">
        <v>66</v>
      </c>
      <c r="F45" s="421">
        <f t="shared" si="2"/>
        <v>39000000</v>
      </c>
      <c r="G45" s="421">
        <f t="shared" si="2"/>
        <v>2970000</v>
      </c>
      <c r="H45" s="421">
        <f t="shared" si="2"/>
        <v>35820000</v>
      </c>
      <c r="I45" s="421">
        <f t="shared" si="2"/>
        <v>38790000</v>
      </c>
      <c r="J45" s="421">
        <f t="shared" si="2"/>
        <v>210000</v>
      </c>
      <c r="K45" s="418"/>
    </row>
    <row r="46" spans="1:11" hidden="1" x14ac:dyDescent="0.25">
      <c r="A46" s="440"/>
      <c r="B46" s="423" t="s">
        <v>330</v>
      </c>
      <c r="C46" s="423" t="s">
        <v>333</v>
      </c>
      <c r="D46" s="422"/>
      <c r="E46" s="424" t="s">
        <v>144</v>
      </c>
      <c r="F46" s="425">
        <f>SUM(F47:F48)</f>
        <v>39000000</v>
      </c>
      <c r="G46" s="425">
        <f>SUM(G47:G48)</f>
        <v>2970000</v>
      </c>
      <c r="H46" s="425">
        <f>SUM(H47:H48)</f>
        <v>35820000</v>
      </c>
      <c r="I46" s="425">
        <f>SUM(I47:I48)</f>
        <v>38790000</v>
      </c>
      <c r="J46" s="425">
        <f>SUM(J47:J48)</f>
        <v>210000</v>
      </c>
      <c r="K46" s="422"/>
    </row>
    <row r="47" spans="1:11" hidden="1" x14ac:dyDescent="0.25">
      <c r="A47" s="439"/>
      <c r="B47" s="427" t="s">
        <v>330</v>
      </c>
      <c r="C47" s="427" t="s">
        <v>334</v>
      </c>
      <c r="D47" s="426"/>
      <c r="E47" s="428" t="s">
        <v>335</v>
      </c>
      <c r="F47" s="429">
        <v>36000000</v>
      </c>
      <c r="G47" s="429">
        <v>2970000</v>
      </c>
      <c r="H47" s="429">
        <f>[2]Nov!I53</f>
        <v>32820000</v>
      </c>
      <c r="I47" s="429">
        <f>G47+H47</f>
        <v>35790000</v>
      </c>
      <c r="J47" s="429">
        <f>F47-I47</f>
        <v>210000</v>
      </c>
      <c r="K47" s="426"/>
    </row>
    <row r="48" spans="1:11" hidden="1" x14ac:dyDescent="0.25">
      <c r="A48" s="439"/>
      <c r="B48" s="427" t="s">
        <v>330</v>
      </c>
      <c r="C48" s="427" t="s">
        <v>336</v>
      </c>
      <c r="D48" s="426"/>
      <c r="E48" s="428" t="s">
        <v>337</v>
      </c>
      <c r="F48" s="429">
        <v>3000000</v>
      </c>
      <c r="G48" s="429">
        <v>0</v>
      </c>
      <c r="H48" s="429">
        <f>[2]Nov!I54</f>
        <v>3000000</v>
      </c>
      <c r="I48" s="429">
        <f>G48+H48</f>
        <v>3000000</v>
      </c>
      <c r="J48" s="429">
        <f>F48-I48</f>
        <v>0</v>
      </c>
      <c r="K48" s="426"/>
    </row>
    <row r="49" spans="1:11" hidden="1" x14ac:dyDescent="0.25">
      <c r="A49" s="439"/>
      <c r="B49" s="427"/>
      <c r="C49" s="427"/>
      <c r="D49" s="426"/>
      <c r="E49" s="428"/>
      <c r="F49" s="429"/>
      <c r="G49" s="429"/>
      <c r="H49" s="429"/>
      <c r="I49" s="429"/>
      <c r="J49" s="429"/>
      <c r="K49" s="426"/>
    </row>
    <row r="50" spans="1:11" ht="14.25" customHeight="1" x14ac:dyDescent="0.25">
      <c r="A50" s="439"/>
      <c r="B50" s="419" t="s">
        <v>338</v>
      </c>
      <c r="C50" s="439"/>
      <c r="D50" s="426"/>
      <c r="E50" s="420" t="s">
        <v>339</v>
      </c>
      <c r="F50" s="421">
        <f t="shared" ref="F50:J51" si="3">F51</f>
        <v>523562500</v>
      </c>
      <c r="G50" s="421">
        <f t="shared" si="3"/>
        <v>38503025</v>
      </c>
      <c r="H50" s="421">
        <f t="shared" si="3"/>
        <v>482578150</v>
      </c>
      <c r="I50" s="421">
        <f t="shared" si="3"/>
        <v>521081175</v>
      </c>
      <c r="J50" s="421">
        <f t="shared" si="3"/>
        <v>2481325</v>
      </c>
      <c r="K50" s="426"/>
    </row>
    <row r="51" spans="1:11" ht="0.75" hidden="1" customHeight="1" x14ac:dyDescent="0.25">
      <c r="A51" s="438"/>
      <c r="B51" s="419" t="s">
        <v>338</v>
      </c>
      <c r="C51" s="419" t="s">
        <v>332</v>
      </c>
      <c r="D51" s="418"/>
      <c r="E51" s="420" t="s">
        <v>66</v>
      </c>
      <c r="F51" s="421">
        <f t="shared" si="3"/>
        <v>523562500</v>
      </c>
      <c r="G51" s="421">
        <f t="shared" si="3"/>
        <v>38503025</v>
      </c>
      <c r="H51" s="421">
        <f t="shared" si="3"/>
        <v>482578150</v>
      </c>
      <c r="I51" s="421">
        <f t="shared" si="3"/>
        <v>521081175</v>
      </c>
      <c r="J51" s="421">
        <f t="shared" si="3"/>
        <v>2481325</v>
      </c>
      <c r="K51" s="418"/>
    </row>
    <row r="52" spans="1:11" hidden="1" x14ac:dyDescent="0.25">
      <c r="A52" s="440"/>
      <c r="B52" s="423" t="s">
        <v>338</v>
      </c>
      <c r="C52" s="423" t="s">
        <v>340</v>
      </c>
      <c r="D52" s="422"/>
      <c r="E52" s="424" t="s">
        <v>143</v>
      </c>
      <c r="F52" s="425">
        <f>SUM(F53:F54)</f>
        <v>523562500</v>
      </c>
      <c r="G52" s="425">
        <f>SUM(G53:G54)</f>
        <v>38503025</v>
      </c>
      <c r="H52" s="425">
        <f>SUM(H53:H54)</f>
        <v>482578150</v>
      </c>
      <c r="I52" s="425">
        <f>SUM(I53:I54)</f>
        <v>521081175</v>
      </c>
      <c r="J52" s="425">
        <f>SUM(J53:J54)</f>
        <v>2481325</v>
      </c>
      <c r="K52" s="422"/>
    </row>
    <row r="53" spans="1:11" hidden="1" x14ac:dyDescent="0.25">
      <c r="A53" s="439"/>
      <c r="B53" s="427" t="s">
        <v>338</v>
      </c>
      <c r="C53" s="427" t="s">
        <v>341</v>
      </c>
      <c r="D53" s="426"/>
      <c r="E53" s="428" t="s">
        <v>342</v>
      </c>
      <c r="F53" s="429">
        <v>483000000</v>
      </c>
      <c r="G53" s="429">
        <v>38503025</v>
      </c>
      <c r="H53" s="429">
        <f>[2]Nov!I59</f>
        <v>442015650</v>
      </c>
      <c r="I53" s="429">
        <f t="shared" ref="I53:I54" si="4">G53+H53</f>
        <v>480518675</v>
      </c>
      <c r="J53" s="429">
        <f t="shared" ref="J53:J54" si="5">F53-I53</f>
        <v>2481325</v>
      </c>
      <c r="K53" s="426"/>
    </row>
    <row r="54" spans="1:11" hidden="1" x14ac:dyDescent="0.25">
      <c r="A54" s="439"/>
      <c r="B54" s="427" t="s">
        <v>338</v>
      </c>
      <c r="C54" s="427" t="s">
        <v>343</v>
      </c>
      <c r="D54" s="426"/>
      <c r="E54" s="428" t="s">
        <v>344</v>
      </c>
      <c r="F54" s="429">
        <v>40562500</v>
      </c>
      <c r="G54" s="429">
        <v>0</v>
      </c>
      <c r="H54" s="429">
        <f>[2]Nov!I60</f>
        <v>40562500</v>
      </c>
      <c r="I54" s="429">
        <f t="shared" si="4"/>
        <v>40562500</v>
      </c>
      <c r="J54" s="429">
        <f t="shared" si="5"/>
        <v>0</v>
      </c>
      <c r="K54" s="426"/>
    </row>
    <row r="55" spans="1:11" hidden="1" x14ac:dyDescent="0.25">
      <c r="A55" s="439"/>
      <c r="B55" s="427"/>
      <c r="C55" s="427"/>
      <c r="D55" s="426"/>
      <c r="E55" s="428"/>
      <c r="F55" s="429"/>
      <c r="G55" s="429"/>
      <c r="H55" s="429"/>
      <c r="I55" s="429"/>
      <c r="J55" s="429"/>
      <c r="K55" s="426"/>
    </row>
    <row r="56" spans="1:11" ht="14.25" customHeight="1" x14ac:dyDescent="0.25">
      <c r="A56" s="439"/>
      <c r="B56" s="419" t="s">
        <v>345</v>
      </c>
      <c r="C56" s="439"/>
      <c r="D56" s="426"/>
      <c r="E56" s="420" t="s">
        <v>346</v>
      </c>
      <c r="F56" s="421">
        <f t="shared" ref="F56:J57" si="6">F57</f>
        <v>42380300</v>
      </c>
      <c r="G56" s="421">
        <f t="shared" si="6"/>
        <v>2490436</v>
      </c>
      <c r="H56" s="421">
        <f t="shared" si="6"/>
        <v>37988508</v>
      </c>
      <c r="I56" s="421">
        <f t="shared" si="6"/>
        <v>40478944</v>
      </c>
      <c r="J56" s="421">
        <f t="shared" si="6"/>
        <v>1901356</v>
      </c>
      <c r="K56" s="426"/>
    </row>
    <row r="57" spans="1:11" ht="0.75" hidden="1" customHeight="1" x14ac:dyDescent="0.25">
      <c r="A57" s="438"/>
      <c r="B57" s="419" t="s">
        <v>345</v>
      </c>
      <c r="C57" s="419" t="s">
        <v>332</v>
      </c>
      <c r="D57" s="418"/>
      <c r="E57" s="420" t="s">
        <v>66</v>
      </c>
      <c r="F57" s="421">
        <f t="shared" si="6"/>
        <v>42380300</v>
      </c>
      <c r="G57" s="421">
        <f t="shared" si="6"/>
        <v>2490436</v>
      </c>
      <c r="H57" s="421">
        <f t="shared" si="6"/>
        <v>37988508</v>
      </c>
      <c r="I57" s="421">
        <f t="shared" si="6"/>
        <v>40478944</v>
      </c>
      <c r="J57" s="421">
        <f t="shared" si="6"/>
        <v>1901356</v>
      </c>
      <c r="K57" s="418"/>
    </row>
    <row r="58" spans="1:11" hidden="1" x14ac:dyDescent="0.25">
      <c r="A58" s="440"/>
      <c r="B58" s="423" t="s">
        <v>345</v>
      </c>
      <c r="C58" s="423" t="s">
        <v>347</v>
      </c>
      <c r="D58" s="422"/>
      <c r="E58" s="424" t="s">
        <v>348</v>
      </c>
      <c r="F58" s="425">
        <f>SUM(F59:F62)</f>
        <v>42380300</v>
      </c>
      <c r="G58" s="425">
        <f>SUM(G59:G62)</f>
        <v>2490436</v>
      </c>
      <c r="H58" s="425">
        <f>SUM(H59:H62)</f>
        <v>37988508</v>
      </c>
      <c r="I58" s="425">
        <f>SUM(I59:I62)</f>
        <v>40478944</v>
      </c>
      <c r="J58" s="425">
        <f>SUM(J59:J62)</f>
        <v>1901356</v>
      </c>
      <c r="K58" s="422"/>
    </row>
    <row r="59" spans="1:11" hidden="1" x14ac:dyDescent="0.25">
      <c r="A59" s="439"/>
      <c r="B59" s="427" t="s">
        <v>345</v>
      </c>
      <c r="C59" s="427" t="s">
        <v>349</v>
      </c>
      <c r="D59" s="426"/>
      <c r="E59" s="428" t="s">
        <v>350</v>
      </c>
      <c r="F59" s="429">
        <v>600000</v>
      </c>
      <c r="G59" s="429">
        <v>0</v>
      </c>
      <c r="H59" s="429">
        <f>[2]Nov!I65</f>
        <v>560900</v>
      </c>
      <c r="I59" s="429">
        <f t="shared" ref="I59:I62" si="7">G59+H59</f>
        <v>560900</v>
      </c>
      <c r="J59" s="429">
        <f t="shared" ref="J59:J62" si="8">F59-I59</f>
        <v>39100</v>
      </c>
      <c r="K59" s="426"/>
    </row>
    <row r="60" spans="1:11" hidden="1" x14ac:dyDescent="0.25">
      <c r="A60" s="439"/>
      <c r="B60" s="427" t="s">
        <v>345</v>
      </c>
      <c r="C60" s="427" t="s">
        <v>351</v>
      </c>
      <c r="D60" s="426"/>
      <c r="E60" s="428" t="s">
        <v>352</v>
      </c>
      <c r="F60" s="429">
        <v>9394700</v>
      </c>
      <c r="G60" s="429">
        <v>136400</v>
      </c>
      <c r="H60" s="429">
        <f>[2]Nov!I66</f>
        <v>9258300</v>
      </c>
      <c r="I60" s="429">
        <f t="shared" si="7"/>
        <v>9394700</v>
      </c>
      <c r="J60" s="429">
        <f t="shared" si="8"/>
        <v>0</v>
      </c>
      <c r="K60" s="426"/>
    </row>
    <row r="61" spans="1:11" hidden="1" x14ac:dyDescent="0.25">
      <c r="A61" s="439"/>
      <c r="B61" s="427" t="s">
        <v>345</v>
      </c>
      <c r="C61" s="427" t="s">
        <v>353</v>
      </c>
      <c r="D61" s="426"/>
      <c r="E61" s="428" t="s">
        <v>354</v>
      </c>
      <c r="F61" s="429">
        <v>2246400</v>
      </c>
      <c r="G61" s="429">
        <v>171162</v>
      </c>
      <c r="H61" s="429">
        <f>[2]Nov!I67</f>
        <v>1995048</v>
      </c>
      <c r="I61" s="429">
        <f t="shared" si="7"/>
        <v>2166210</v>
      </c>
      <c r="J61" s="429">
        <f t="shared" si="8"/>
        <v>80190</v>
      </c>
      <c r="K61" s="426"/>
    </row>
    <row r="62" spans="1:11" hidden="1" x14ac:dyDescent="0.25">
      <c r="A62" s="439"/>
      <c r="B62" s="427" t="s">
        <v>345</v>
      </c>
      <c r="C62" s="427" t="s">
        <v>355</v>
      </c>
      <c r="D62" s="426"/>
      <c r="E62" s="428" t="s">
        <v>356</v>
      </c>
      <c r="F62" s="429">
        <v>30139200</v>
      </c>
      <c r="G62" s="429">
        <v>2182874</v>
      </c>
      <c r="H62" s="429">
        <f>[2]Nov!I68</f>
        <v>26174260</v>
      </c>
      <c r="I62" s="429">
        <f t="shared" si="7"/>
        <v>28357134</v>
      </c>
      <c r="J62" s="429">
        <f t="shared" si="8"/>
        <v>1782066</v>
      </c>
      <c r="K62" s="426"/>
    </row>
    <row r="63" spans="1:11" hidden="1" x14ac:dyDescent="0.25">
      <c r="A63" s="439"/>
      <c r="B63" s="427"/>
      <c r="C63" s="427"/>
      <c r="D63" s="426"/>
      <c r="E63" s="428"/>
      <c r="F63" s="429"/>
      <c r="G63" s="429"/>
      <c r="H63" s="429"/>
      <c r="I63" s="429"/>
      <c r="J63" s="429"/>
      <c r="K63" s="426"/>
    </row>
    <row r="64" spans="1:11" ht="38.25" x14ac:dyDescent="0.25">
      <c r="A64" s="439"/>
      <c r="B64" s="441" t="s">
        <v>357</v>
      </c>
      <c r="C64" s="439"/>
      <c r="D64" s="426"/>
      <c r="E64" s="484" t="s">
        <v>358</v>
      </c>
      <c r="F64" s="443">
        <f>F65</f>
        <v>38405140</v>
      </c>
      <c r="G64" s="443">
        <f>G65</f>
        <v>7272860</v>
      </c>
      <c r="H64" s="443">
        <f>H65</f>
        <v>28065300</v>
      </c>
      <c r="I64" s="443">
        <f>I65</f>
        <v>35338160</v>
      </c>
      <c r="J64" s="443">
        <f>J65</f>
        <v>3066980</v>
      </c>
      <c r="K64" s="426"/>
    </row>
    <row r="65" spans="1:11" ht="0.75" hidden="1" customHeight="1" x14ac:dyDescent="0.25">
      <c r="A65" s="438"/>
      <c r="B65" s="419" t="s">
        <v>357</v>
      </c>
      <c r="C65" s="419" t="s">
        <v>359</v>
      </c>
      <c r="D65" s="418"/>
      <c r="E65" s="420" t="s">
        <v>67</v>
      </c>
      <c r="F65" s="421">
        <f>F66+F71+F73+F76</f>
        <v>38405140</v>
      </c>
      <c r="G65" s="421">
        <f>G66+G71+G73+G76</f>
        <v>7272860</v>
      </c>
      <c r="H65" s="421">
        <f>H66+H71+H73+H76</f>
        <v>28065300</v>
      </c>
      <c r="I65" s="421">
        <f>I66+I71+I73+I76</f>
        <v>35338160</v>
      </c>
      <c r="J65" s="421">
        <f>J66+J71+J73+J76</f>
        <v>3066980</v>
      </c>
      <c r="K65" s="418"/>
    </row>
    <row r="66" spans="1:11" hidden="1" x14ac:dyDescent="0.25">
      <c r="A66" s="440"/>
      <c r="B66" s="423" t="s">
        <v>357</v>
      </c>
      <c r="C66" s="423" t="s">
        <v>360</v>
      </c>
      <c r="D66" s="422"/>
      <c r="E66" s="424" t="s">
        <v>361</v>
      </c>
      <c r="F66" s="425">
        <f>SUM(F67:F70)</f>
        <v>19965140</v>
      </c>
      <c r="G66" s="425">
        <f>SUM(G67:G70)</f>
        <v>3832500</v>
      </c>
      <c r="H66" s="425">
        <f>SUM(H67:H70)</f>
        <v>15166200</v>
      </c>
      <c r="I66" s="425">
        <f>SUM(I67:I70)</f>
        <v>18998700</v>
      </c>
      <c r="J66" s="425">
        <f>SUM(J67:J70)</f>
        <v>966440</v>
      </c>
      <c r="K66" s="422"/>
    </row>
    <row r="67" spans="1:11" hidden="1" x14ac:dyDescent="0.25">
      <c r="A67" s="439"/>
      <c r="B67" s="427" t="s">
        <v>357</v>
      </c>
      <c r="C67" s="427" t="s">
        <v>362</v>
      </c>
      <c r="D67" s="426"/>
      <c r="E67" s="428" t="s">
        <v>363</v>
      </c>
      <c r="F67" s="429">
        <v>8059900</v>
      </c>
      <c r="G67" s="429">
        <v>1059500</v>
      </c>
      <c r="H67" s="429">
        <f>[2]Nov!I73</f>
        <v>7000000</v>
      </c>
      <c r="I67" s="429">
        <f t="shared" ref="I67:I70" si="9">G67+H67</f>
        <v>8059500</v>
      </c>
      <c r="J67" s="429">
        <f t="shared" ref="J67:J70" si="10">F67-I67</f>
        <v>400</v>
      </c>
      <c r="K67" s="426"/>
    </row>
    <row r="68" spans="1:11" hidden="1" x14ac:dyDescent="0.25">
      <c r="A68" s="439"/>
      <c r="B68" s="427" t="s">
        <v>357</v>
      </c>
      <c r="C68" s="427" t="s">
        <v>364</v>
      </c>
      <c r="D68" s="426"/>
      <c r="E68" s="428" t="s">
        <v>365</v>
      </c>
      <c r="F68" s="429">
        <v>885000</v>
      </c>
      <c r="G68" s="429">
        <v>0</v>
      </c>
      <c r="H68" s="429">
        <f>[2]Nov!I74</f>
        <v>885000</v>
      </c>
      <c r="I68" s="429">
        <f t="shared" si="9"/>
        <v>885000</v>
      </c>
      <c r="J68" s="429">
        <f t="shared" si="10"/>
        <v>0</v>
      </c>
      <c r="K68" s="426"/>
    </row>
    <row r="69" spans="1:11" hidden="1" x14ac:dyDescent="0.25">
      <c r="A69" s="439"/>
      <c r="B69" s="427" t="s">
        <v>357</v>
      </c>
      <c r="C69" s="427" t="s">
        <v>366</v>
      </c>
      <c r="D69" s="426"/>
      <c r="E69" s="428" t="s">
        <v>367</v>
      </c>
      <c r="F69" s="429">
        <v>3164240</v>
      </c>
      <c r="G69" s="429">
        <v>1364000</v>
      </c>
      <c r="H69" s="429">
        <f>[2]Nov!I75</f>
        <v>1800000</v>
      </c>
      <c r="I69" s="429">
        <f t="shared" si="9"/>
        <v>3164000</v>
      </c>
      <c r="J69" s="429">
        <f t="shared" si="10"/>
        <v>240</v>
      </c>
      <c r="K69" s="426"/>
    </row>
    <row r="70" spans="1:11" hidden="1" x14ac:dyDescent="0.25">
      <c r="A70" s="439"/>
      <c r="B70" s="427" t="s">
        <v>357</v>
      </c>
      <c r="C70" s="427" t="s">
        <v>368</v>
      </c>
      <c r="D70" s="426"/>
      <c r="E70" s="428" t="s">
        <v>369</v>
      </c>
      <c r="F70" s="429">
        <v>7856000</v>
      </c>
      <c r="G70" s="429">
        <f>847000+121000+121000+320000</f>
        <v>1409000</v>
      </c>
      <c r="H70" s="429">
        <f>[2]Nov!I76</f>
        <v>5481200</v>
      </c>
      <c r="I70" s="429">
        <f t="shared" si="9"/>
        <v>6890200</v>
      </c>
      <c r="J70" s="429">
        <f t="shared" si="10"/>
        <v>965800</v>
      </c>
      <c r="K70" s="426"/>
    </row>
    <row r="71" spans="1:11" hidden="1" x14ac:dyDescent="0.25">
      <c r="A71" s="440"/>
      <c r="B71" s="423" t="s">
        <v>357</v>
      </c>
      <c r="C71" s="423" t="s">
        <v>370</v>
      </c>
      <c r="D71" s="422"/>
      <c r="E71" s="424" t="s">
        <v>81</v>
      </c>
      <c r="F71" s="425">
        <f>SUM(F72)</f>
        <v>12100000</v>
      </c>
      <c r="G71" s="425">
        <f>SUM(G72)</f>
        <v>2200000</v>
      </c>
      <c r="H71" s="425">
        <f>SUM(H72)</f>
        <v>9900000</v>
      </c>
      <c r="I71" s="425">
        <f>SUM(I72)</f>
        <v>12100000</v>
      </c>
      <c r="J71" s="425">
        <f>SUM(J72)</f>
        <v>0</v>
      </c>
      <c r="K71" s="422"/>
    </row>
    <row r="72" spans="1:11" hidden="1" x14ac:dyDescent="0.25">
      <c r="A72" s="439"/>
      <c r="B72" s="427" t="s">
        <v>357</v>
      </c>
      <c r="C72" s="427" t="s">
        <v>371</v>
      </c>
      <c r="D72" s="426"/>
      <c r="E72" s="428" t="s">
        <v>372</v>
      </c>
      <c r="F72" s="429">
        <v>12100000</v>
      </c>
      <c r="G72" s="429">
        <v>2200000</v>
      </c>
      <c r="H72" s="429">
        <f>[2]Nov!I78</f>
        <v>9900000</v>
      </c>
      <c r="I72" s="429">
        <f>G72+H72</f>
        <v>12100000</v>
      </c>
      <c r="J72" s="429">
        <f>F72-I72</f>
        <v>0</v>
      </c>
      <c r="K72" s="426"/>
    </row>
    <row r="73" spans="1:11" hidden="1" x14ac:dyDescent="0.25">
      <c r="A73" s="440"/>
      <c r="B73" s="423" t="s">
        <v>357</v>
      </c>
      <c r="C73" s="423" t="s">
        <v>373</v>
      </c>
      <c r="D73" s="422"/>
      <c r="E73" s="424" t="s">
        <v>145</v>
      </c>
      <c r="F73" s="425">
        <f>SUM(F74:F75)</f>
        <v>3150000</v>
      </c>
      <c r="G73" s="425">
        <f>SUM(G74:G75)</f>
        <v>700000</v>
      </c>
      <c r="H73" s="425">
        <f>SUM(H74:H75)</f>
        <v>2450000</v>
      </c>
      <c r="I73" s="425">
        <f>SUM(I74:I75)</f>
        <v>3150000</v>
      </c>
      <c r="J73" s="425">
        <f>SUM(J74:J75)</f>
        <v>0</v>
      </c>
      <c r="K73" s="422"/>
    </row>
    <row r="74" spans="1:11" hidden="1" x14ac:dyDescent="0.25">
      <c r="A74" s="439"/>
      <c r="B74" s="427" t="s">
        <v>357</v>
      </c>
      <c r="C74" s="427" t="s">
        <v>374</v>
      </c>
      <c r="D74" s="426"/>
      <c r="E74" s="428" t="s">
        <v>375</v>
      </c>
      <c r="F74" s="429">
        <v>2400000</v>
      </c>
      <c r="G74" s="429">
        <v>0</v>
      </c>
      <c r="H74" s="429">
        <f>[2]Nov!I80</f>
        <v>2400000</v>
      </c>
      <c r="I74" s="429">
        <f t="shared" ref="I74:I75" si="11">G74+H74</f>
        <v>2400000</v>
      </c>
      <c r="J74" s="429">
        <f t="shared" ref="J74:J75" si="12">F74-I74</f>
        <v>0</v>
      </c>
      <c r="K74" s="426"/>
    </row>
    <row r="75" spans="1:11" hidden="1" x14ac:dyDescent="0.25">
      <c r="A75" s="439"/>
      <c r="B75" s="427" t="s">
        <v>357</v>
      </c>
      <c r="C75" s="427" t="s">
        <v>376</v>
      </c>
      <c r="D75" s="426"/>
      <c r="E75" s="428" t="s">
        <v>377</v>
      </c>
      <c r="F75" s="429">
        <v>750000</v>
      </c>
      <c r="G75" s="429">
        <v>700000</v>
      </c>
      <c r="H75" s="429">
        <f>[2]Nov!I81</f>
        <v>50000</v>
      </c>
      <c r="I75" s="429">
        <f t="shared" si="11"/>
        <v>750000</v>
      </c>
      <c r="J75" s="429">
        <f t="shared" si="12"/>
        <v>0</v>
      </c>
      <c r="K75" s="426"/>
    </row>
    <row r="76" spans="1:11" hidden="1" x14ac:dyDescent="0.25">
      <c r="A76" s="440"/>
      <c r="B76" s="423" t="s">
        <v>357</v>
      </c>
      <c r="C76" s="423" t="s">
        <v>378</v>
      </c>
      <c r="D76" s="422"/>
      <c r="E76" s="424" t="s">
        <v>78</v>
      </c>
      <c r="F76" s="425">
        <f>SUM(F77:F80)</f>
        <v>3190000</v>
      </c>
      <c r="G76" s="425">
        <f>SUM(G77:G80)</f>
        <v>540360</v>
      </c>
      <c r="H76" s="425">
        <f>SUM(H77:H80)</f>
        <v>549100</v>
      </c>
      <c r="I76" s="425">
        <f>SUM(I77:I80)</f>
        <v>1089460</v>
      </c>
      <c r="J76" s="425">
        <f>SUM(J77:J80)</f>
        <v>2100540</v>
      </c>
      <c r="K76" s="422"/>
    </row>
    <row r="77" spans="1:11" hidden="1" x14ac:dyDescent="0.25">
      <c r="A77" s="439"/>
      <c r="B77" s="427" t="s">
        <v>357</v>
      </c>
      <c r="C77" s="427" t="s">
        <v>379</v>
      </c>
      <c r="D77" s="426"/>
      <c r="E77" s="428" t="s">
        <v>380</v>
      </c>
      <c r="F77" s="429">
        <v>600000</v>
      </c>
      <c r="G77" s="429">
        <v>206860</v>
      </c>
      <c r="H77" s="429">
        <f>[2]Nov!I83</f>
        <v>349100</v>
      </c>
      <c r="I77" s="429">
        <f t="shared" ref="I77:I80" si="13">G77+H77</f>
        <v>555960</v>
      </c>
      <c r="J77" s="429">
        <f t="shared" ref="J77:J80" si="14">F77-I77</f>
        <v>44040</v>
      </c>
      <c r="K77" s="426"/>
    </row>
    <row r="78" spans="1:11" hidden="1" x14ac:dyDescent="0.25">
      <c r="A78" s="439"/>
      <c r="B78" s="427" t="s">
        <v>357</v>
      </c>
      <c r="C78" s="427" t="s">
        <v>381</v>
      </c>
      <c r="D78" s="426"/>
      <c r="E78" s="428" t="s">
        <v>382</v>
      </c>
      <c r="F78" s="429">
        <v>360000</v>
      </c>
      <c r="G78" s="429">
        <v>240000</v>
      </c>
      <c r="H78" s="429">
        <f>[2]Nov!I84</f>
        <v>120000</v>
      </c>
      <c r="I78" s="429">
        <f t="shared" si="13"/>
        <v>360000</v>
      </c>
      <c r="J78" s="429">
        <f t="shared" si="14"/>
        <v>0</v>
      </c>
      <c r="K78" s="426"/>
    </row>
    <row r="79" spans="1:11" hidden="1" x14ac:dyDescent="0.25">
      <c r="A79" s="439"/>
      <c r="B79" s="427" t="s">
        <v>357</v>
      </c>
      <c r="C79" s="427" t="s">
        <v>383</v>
      </c>
      <c r="D79" s="426"/>
      <c r="E79" s="428" t="s">
        <v>384</v>
      </c>
      <c r="F79" s="429">
        <v>1680000</v>
      </c>
      <c r="G79" s="429">
        <v>0</v>
      </c>
      <c r="H79" s="429">
        <f>[2]Nov!I85</f>
        <v>0</v>
      </c>
      <c r="I79" s="429">
        <f t="shared" si="13"/>
        <v>0</v>
      </c>
      <c r="J79" s="429">
        <f t="shared" si="14"/>
        <v>1680000</v>
      </c>
      <c r="K79" s="426"/>
    </row>
    <row r="80" spans="1:11" hidden="1" x14ac:dyDescent="0.25">
      <c r="A80" s="431"/>
      <c r="B80" s="444" t="s">
        <v>357</v>
      </c>
      <c r="C80" s="444" t="s">
        <v>385</v>
      </c>
      <c r="D80" s="430"/>
      <c r="E80" s="445" t="s">
        <v>386</v>
      </c>
      <c r="F80" s="446">
        <v>550000</v>
      </c>
      <c r="G80" s="446">
        <v>93500</v>
      </c>
      <c r="H80" s="429">
        <f>[2]Nov!I86</f>
        <v>80000</v>
      </c>
      <c r="I80" s="446">
        <f t="shared" si="13"/>
        <v>173500</v>
      </c>
      <c r="J80" s="446">
        <f t="shared" si="14"/>
        <v>376500</v>
      </c>
      <c r="K80" s="430"/>
    </row>
    <row r="81" spans="1:11" hidden="1" x14ac:dyDescent="0.25">
      <c r="A81" s="477"/>
      <c r="B81" s="478"/>
      <c r="C81" s="478"/>
      <c r="D81" s="479"/>
      <c r="E81" s="480"/>
      <c r="F81" s="481"/>
      <c r="G81" s="481"/>
      <c r="H81" s="482"/>
      <c r="I81" s="481"/>
      <c r="J81" s="481"/>
      <c r="K81" s="479"/>
    </row>
    <row r="82" spans="1:11" x14ac:dyDescent="0.25">
      <c r="A82" s="447"/>
      <c r="B82" s="415" t="s">
        <v>387</v>
      </c>
      <c r="C82" s="447"/>
      <c r="D82" s="434"/>
      <c r="E82" s="416" t="s">
        <v>388</v>
      </c>
      <c r="F82" s="448">
        <f t="shared" ref="F82:J83" si="15">F83</f>
        <v>42250000</v>
      </c>
      <c r="G82" s="448">
        <f t="shared" si="15"/>
        <v>3250000</v>
      </c>
      <c r="H82" s="448">
        <f t="shared" si="15"/>
        <v>39000000</v>
      </c>
      <c r="I82" s="448">
        <f t="shared" si="15"/>
        <v>42250000</v>
      </c>
      <c r="J82" s="448">
        <f t="shared" si="15"/>
        <v>0</v>
      </c>
      <c r="K82" s="434"/>
    </row>
    <row r="83" spans="1:11" hidden="1" x14ac:dyDescent="0.25">
      <c r="A83" s="438"/>
      <c r="B83" s="419" t="s">
        <v>387</v>
      </c>
      <c r="C83" s="419" t="s">
        <v>332</v>
      </c>
      <c r="D83" s="418"/>
      <c r="E83" s="420" t="s">
        <v>66</v>
      </c>
      <c r="F83" s="421">
        <f t="shared" si="15"/>
        <v>42250000</v>
      </c>
      <c r="G83" s="421">
        <f t="shared" si="15"/>
        <v>3250000</v>
      </c>
      <c r="H83" s="421">
        <f t="shared" si="15"/>
        <v>39000000</v>
      </c>
      <c r="I83" s="421">
        <f t="shared" si="15"/>
        <v>42250000</v>
      </c>
      <c r="J83" s="421">
        <f t="shared" si="15"/>
        <v>0</v>
      </c>
      <c r="K83" s="418"/>
    </row>
    <row r="84" spans="1:11" hidden="1" x14ac:dyDescent="0.25">
      <c r="A84" s="440"/>
      <c r="B84" s="423" t="s">
        <v>387</v>
      </c>
      <c r="C84" s="423" t="s">
        <v>389</v>
      </c>
      <c r="D84" s="422"/>
      <c r="E84" s="424" t="s">
        <v>146</v>
      </c>
      <c r="F84" s="425">
        <f>SUM(F85:F86)</f>
        <v>42250000</v>
      </c>
      <c r="G84" s="425">
        <f>SUM(G85:G86)</f>
        <v>3250000</v>
      </c>
      <c r="H84" s="425">
        <f>SUM(H85:H86)</f>
        <v>39000000</v>
      </c>
      <c r="I84" s="425">
        <f>SUM(I85:I86)</f>
        <v>42250000</v>
      </c>
      <c r="J84" s="425">
        <f>SUM(J85:J86)</f>
        <v>0</v>
      </c>
      <c r="K84" s="422"/>
    </row>
    <row r="85" spans="1:11" hidden="1" x14ac:dyDescent="0.25">
      <c r="A85" s="439"/>
      <c r="B85" s="427" t="s">
        <v>387</v>
      </c>
      <c r="C85" s="427" t="s">
        <v>390</v>
      </c>
      <c r="D85" s="426"/>
      <c r="E85" s="428" t="s">
        <v>391</v>
      </c>
      <c r="F85" s="429">
        <v>39000000</v>
      </c>
      <c r="G85" s="429">
        <v>3250000</v>
      </c>
      <c r="H85" s="429">
        <f>[2]Nov!I94</f>
        <v>35750000</v>
      </c>
      <c r="I85" s="429">
        <f t="shared" ref="I85:I86" si="16">G85+H85</f>
        <v>39000000</v>
      </c>
      <c r="J85" s="429">
        <f t="shared" ref="J85:J86" si="17">F85-I85</f>
        <v>0</v>
      </c>
      <c r="K85" s="426"/>
    </row>
    <row r="86" spans="1:11" hidden="1" x14ac:dyDescent="0.25">
      <c r="A86" s="439"/>
      <c r="B86" s="427" t="s">
        <v>387</v>
      </c>
      <c r="C86" s="427" t="s">
        <v>392</v>
      </c>
      <c r="D86" s="426"/>
      <c r="E86" s="428" t="s">
        <v>393</v>
      </c>
      <c r="F86" s="429">
        <v>3250000</v>
      </c>
      <c r="G86" s="429">
        <v>0</v>
      </c>
      <c r="H86" s="429">
        <f>[2]Nov!I95</f>
        <v>3250000</v>
      </c>
      <c r="I86" s="429">
        <f t="shared" si="16"/>
        <v>3250000</v>
      </c>
      <c r="J86" s="429">
        <f t="shared" si="17"/>
        <v>0</v>
      </c>
      <c r="K86" s="426"/>
    </row>
    <row r="87" spans="1:11" hidden="1" x14ac:dyDescent="0.25">
      <c r="A87" s="439"/>
      <c r="B87" s="427"/>
      <c r="C87" s="427"/>
      <c r="D87" s="426"/>
      <c r="E87" s="428"/>
      <c r="F87" s="429"/>
      <c r="G87" s="429"/>
      <c r="H87" s="429"/>
      <c r="I87" s="429"/>
      <c r="J87" s="429"/>
      <c r="K87" s="426"/>
    </row>
    <row r="88" spans="1:11" ht="38.25" x14ac:dyDescent="0.25">
      <c r="A88" s="438"/>
      <c r="B88" s="449" t="s">
        <v>394</v>
      </c>
      <c r="C88" s="438"/>
      <c r="D88" s="418"/>
      <c r="E88" s="484" t="s">
        <v>395</v>
      </c>
      <c r="F88" s="443">
        <f>F89</f>
        <v>4160000</v>
      </c>
      <c r="G88" s="443">
        <f>G89</f>
        <v>2000000</v>
      </c>
      <c r="H88" s="443">
        <f>H89</f>
        <v>1636500</v>
      </c>
      <c r="I88" s="443">
        <f>I89</f>
        <v>3636500</v>
      </c>
      <c r="J88" s="443">
        <f>J89</f>
        <v>523500</v>
      </c>
      <c r="K88" s="418"/>
    </row>
    <row r="89" spans="1:11" hidden="1" x14ac:dyDescent="0.25">
      <c r="A89" s="438"/>
      <c r="B89" s="419" t="s">
        <v>394</v>
      </c>
      <c r="C89" s="419" t="s">
        <v>359</v>
      </c>
      <c r="D89" s="418"/>
      <c r="E89" s="420" t="s">
        <v>67</v>
      </c>
      <c r="F89" s="421">
        <f>F90+F94</f>
        <v>4160000</v>
      </c>
      <c r="G89" s="421">
        <f>G90+G94</f>
        <v>2000000</v>
      </c>
      <c r="H89" s="421">
        <f>H90+H94</f>
        <v>1636500</v>
      </c>
      <c r="I89" s="421">
        <f>I90+I94</f>
        <v>3636500</v>
      </c>
      <c r="J89" s="421">
        <f>J90+J94</f>
        <v>523500</v>
      </c>
      <c r="K89" s="418"/>
    </row>
    <row r="90" spans="1:11" hidden="1" x14ac:dyDescent="0.25">
      <c r="A90" s="440"/>
      <c r="B90" s="423" t="s">
        <v>394</v>
      </c>
      <c r="C90" s="423" t="s">
        <v>360</v>
      </c>
      <c r="D90" s="422"/>
      <c r="E90" s="424" t="s">
        <v>361</v>
      </c>
      <c r="F90" s="425">
        <f>SUM(F91:F93)</f>
        <v>3900000</v>
      </c>
      <c r="G90" s="425">
        <f>SUM(G91:G93)</f>
        <v>2000000</v>
      </c>
      <c r="H90" s="425">
        <f>SUM(H91:H93)</f>
        <v>1546500</v>
      </c>
      <c r="I90" s="425">
        <f>SUM(I91:I93)</f>
        <v>3546500</v>
      </c>
      <c r="J90" s="425">
        <f>SUM(J91:J93)</f>
        <v>353500</v>
      </c>
      <c r="K90" s="422"/>
    </row>
    <row r="91" spans="1:11" hidden="1" x14ac:dyDescent="0.25">
      <c r="A91" s="439"/>
      <c r="B91" s="427" t="s">
        <v>394</v>
      </c>
      <c r="C91" s="427" t="s">
        <v>362</v>
      </c>
      <c r="D91" s="426"/>
      <c r="E91" s="428" t="s">
        <v>363</v>
      </c>
      <c r="F91" s="429">
        <v>50000</v>
      </c>
      <c r="G91" s="429">
        <v>50000</v>
      </c>
      <c r="H91" s="429">
        <f>[2]Nov!I100</f>
        <v>0</v>
      </c>
      <c r="I91" s="429">
        <f t="shared" ref="I91:I93" si="18">G91+H91</f>
        <v>50000</v>
      </c>
      <c r="J91" s="429">
        <f t="shared" ref="J91:J93" si="19">F91-I91</f>
        <v>0</v>
      </c>
      <c r="K91" s="426"/>
    </row>
    <row r="92" spans="1:11" hidden="1" x14ac:dyDescent="0.25">
      <c r="A92" s="439"/>
      <c r="B92" s="427" t="s">
        <v>394</v>
      </c>
      <c r="C92" s="427" t="s">
        <v>366</v>
      </c>
      <c r="D92" s="426"/>
      <c r="E92" s="428" t="s">
        <v>367</v>
      </c>
      <c r="F92" s="429">
        <v>47500</v>
      </c>
      <c r="G92" s="429">
        <v>47500</v>
      </c>
      <c r="H92" s="429">
        <f>[2]Nov!I101</f>
        <v>0</v>
      </c>
      <c r="I92" s="429">
        <f t="shared" si="18"/>
        <v>47500</v>
      </c>
      <c r="J92" s="429">
        <f t="shared" si="19"/>
        <v>0</v>
      </c>
      <c r="K92" s="426"/>
    </row>
    <row r="93" spans="1:11" hidden="1" x14ac:dyDescent="0.25">
      <c r="A93" s="439"/>
      <c r="B93" s="427" t="s">
        <v>394</v>
      </c>
      <c r="C93" s="427" t="s">
        <v>368</v>
      </c>
      <c r="D93" s="426"/>
      <c r="E93" s="428" t="s">
        <v>369</v>
      </c>
      <c r="F93" s="429">
        <v>3802500</v>
      </c>
      <c r="G93" s="429">
        <f>202500+1700000</f>
        <v>1902500</v>
      </c>
      <c r="H93" s="429">
        <f>[2]Nov!I102</f>
        <v>1546500</v>
      </c>
      <c r="I93" s="429">
        <f t="shared" si="18"/>
        <v>3449000</v>
      </c>
      <c r="J93" s="429">
        <f t="shared" si="19"/>
        <v>353500</v>
      </c>
      <c r="K93" s="426"/>
    </row>
    <row r="94" spans="1:11" hidden="1" x14ac:dyDescent="0.25">
      <c r="A94" s="440"/>
      <c r="B94" s="423" t="s">
        <v>394</v>
      </c>
      <c r="C94" s="423" t="s">
        <v>373</v>
      </c>
      <c r="D94" s="422"/>
      <c r="E94" s="424" t="s">
        <v>145</v>
      </c>
      <c r="F94" s="425">
        <f>SUM(F95:F96)</f>
        <v>260000</v>
      </c>
      <c r="G94" s="425">
        <f>SUM(G95:G96)</f>
        <v>0</v>
      </c>
      <c r="H94" s="425">
        <f>SUM(H95:H96)</f>
        <v>90000</v>
      </c>
      <c r="I94" s="425">
        <f>SUM(I95:I96)</f>
        <v>90000</v>
      </c>
      <c r="J94" s="425">
        <f>SUM(J95:J96)</f>
        <v>170000</v>
      </c>
      <c r="K94" s="422"/>
    </row>
    <row r="95" spans="1:11" hidden="1" x14ac:dyDescent="0.25">
      <c r="A95" s="439"/>
      <c r="B95" s="427" t="s">
        <v>394</v>
      </c>
      <c r="C95" s="427" t="s">
        <v>374</v>
      </c>
      <c r="D95" s="426"/>
      <c r="E95" s="428" t="s">
        <v>375</v>
      </c>
      <c r="F95" s="429">
        <v>160000</v>
      </c>
      <c r="G95" s="429">
        <v>0</v>
      </c>
      <c r="H95" s="429">
        <f>[2]Nov!I104</f>
        <v>40000</v>
      </c>
      <c r="I95" s="429">
        <f t="shared" ref="I95:I96" si="20">G95+H95</f>
        <v>40000</v>
      </c>
      <c r="J95" s="429">
        <f t="shared" ref="J95:J96" si="21">F95-I95</f>
        <v>120000</v>
      </c>
      <c r="K95" s="426"/>
    </row>
    <row r="96" spans="1:11" hidden="1" x14ac:dyDescent="0.25">
      <c r="A96" s="439"/>
      <c r="B96" s="427" t="s">
        <v>394</v>
      </c>
      <c r="C96" s="427" t="s">
        <v>376</v>
      </c>
      <c r="D96" s="426"/>
      <c r="E96" s="428" t="s">
        <v>377</v>
      </c>
      <c r="F96" s="429">
        <v>100000</v>
      </c>
      <c r="G96" s="429">
        <v>0</v>
      </c>
      <c r="H96" s="429">
        <f>[2]Nov!I105</f>
        <v>50000</v>
      </c>
      <c r="I96" s="429">
        <f t="shared" si="20"/>
        <v>50000</v>
      </c>
      <c r="J96" s="429">
        <f t="shared" si="21"/>
        <v>50000</v>
      </c>
      <c r="K96" s="426"/>
    </row>
    <row r="97" spans="1:11" hidden="1" x14ac:dyDescent="0.25">
      <c r="A97" s="439"/>
      <c r="B97" s="427"/>
      <c r="C97" s="427"/>
      <c r="D97" s="426"/>
      <c r="E97" s="428"/>
      <c r="F97" s="429"/>
      <c r="G97" s="429"/>
      <c r="H97" s="429"/>
      <c r="I97" s="429"/>
      <c r="J97" s="429"/>
      <c r="K97" s="426"/>
    </row>
    <row r="98" spans="1:11" x14ac:dyDescent="0.25">
      <c r="A98" s="438"/>
      <c r="B98" s="419" t="s">
        <v>396</v>
      </c>
      <c r="C98" s="438"/>
      <c r="D98" s="418"/>
      <c r="E98" s="420" t="s">
        <v>397</v>
      </c>
      <c r="F98" s="421">
        <f>F99</f>
        <v>12000000</v>
      </c>
      <c r="G98" s="421">
        <f>G99</f>
        <v>1900000</v>
      </c>
      <c r="H98" s="421">
        <f>H99</f>
        <v>10100000</v>
      </c>
      <c r="I98" s="421">
        <f>I99</f>
        <v>12000000</v>
      </c>
      <c r="J98" s="421">
        <f>J99</f>
        <v>0</v>
      </c>
      <c r="K98" s="418"/>
    </row>
    <row r="99" spans="1:11" hidden="1" x14ac:dyDescent="0.25">
      <c r="A99" s="438"/>
      <c r="B99" s="419" t="s">
        <v>396</v>
      </c>
      <c r="C99" s="419" t="s">
        <v>359</v>
      </c>
      <c r="D99" s="418"/>
      <c r="E99" s="420" t="s">
        <v>67</v>
      </c>
      <c r="F99" s="421">
        <f>F100+F102</f>
        <v>12000000</v>
      </c>
      <c r="G99" s="421">
        <f>G100+G102</f>
        <v>1900000</v>
      </c>
      <c r="H99" s="421">
        <f>H100+H102</f>
        <v>10100000</v>
      </c>
      <c r="I99" s="421">
        <f>I100+I102</f>
        <v>12000000</v>
      </c>
      <c r="J99" s="421">
        <f>J100+J102</f>
        <v>0</v>
      </c>
      <c r="K99" s="418"/>
    </row>
    <row r="100" spans="1:11" hidden="1" x14ac:dyDescent="0.25">
      <c r="A100" s="440"/>
      <c r="B100" s="423" t="s">
        <v>396</v>
      </c>
      <c r="C100" s="423" t="s">
        <v>360</v>
      </c>
      <c r="D100" s="422"/>
      <c r="E100" s="424" t="s">
        <v>361</v>
      </c>
      <c r="F100" s="425">
        <f>SUM(F101)</f>
        <v>600000</v>
      </c>
      <c r="G100" s="425">
        <f>SUM(G101)</f>
        <v>0</v>
      </c>
      <c r="H100" s="425">
        <f>SUM(H101)</f>
        <v>600000</v>
      </c>
      <c r="I100" s="425">
        <f>SUM(I101)</f>
        <v>600000</v>
      </c>
      <c r="J100" s="425">
        <f>SUM(J101)</f>
        <v>0</v>
      </c>
      <c r="K100" s="422"/>
    </row>
    <row r="101" spans="1:11" hidden="1" x14ac:dyDescent="0.25">
      <c r="A101" s="439"/>
      <c r="B101" s="427" t="s">
        <v>396</v>
      </c>
      <c r="C101" s="427" t="s">
        <v>368</v>
      </c>
      <c r="D101" s="426"/>
      <c r="E101" s="428" t="s">
        <v>369</v>
      </c>
      <c r="F101" s="429">
        <v>600000</v>
      </c>
      <c r="G101" s="429">
        <v>0</v>
      </c>
      <c r="H101" s="429">
        <f>[2]Nov!I110</f>
        <v>600000</v>
      </c>
      <c r="I101" s="429">
        <f t="shared" ref="I101" si="22">G101+H101</f>
        <v>600000</v>
      </c>
      <c r="J101" s="429">
        <f t="shared" ref="J101" si="23">F101-I101</f>
        <v>0</v>
      </c>
      <c r="K101" s="426"/>
    </row>
    <row r="102" spans="1:11" hidden="1" x14ac:dyDescent="0.25">
      <c r="A102" s="440"/>
      <c r="B102" s="423" t="s">
        <v>396</v>
      </c>
      <c r="C102" s="423" t="s">
        <v>370</v>
      </c>
      <c r="D102" s="422"/>
      <c r="E102" s="424" t="s">
        <v>81</v>
      </c>
      <c r="F102" s="425">
        <f>SUM(F103)</f>
        <v>11400000</v>
      </c>
      <c r="G102" s="425">
        <f>SUM(G103)</f>
        <v>1900000</v>
      </c>
      <c r="H102" s="425">
        <f>SUM(H103)</f>
        <v>9500000</v>
      </c>
      <c r="I102" s="425">
        <f>SUM(I103)</f>
        <v>11400000</v>
      </c>
      <c r="J102" s="425">
        <f>SUM(J103)</f>
        <v>0</v>
      </c>
      <c r="K102" s="422"/>
    </row>
    <row r="103" spans="1:11" hidden="1" x14ac:dyDescent="0.25">
      <c r="A103" s="439"/>
      <c r="B103" s="427" t="s">
        <v>396</v>
      </c>
      <c r="C103" s="427" t="s">
        <v>398</v>
      </c>
      <c r="D103" s="426"/>
      <c r="E103" s="428" t="s">
        <v>399</v>
      </c>
      <c r="F103" s="429">
        <v>11400000</v>
      </c>
      <c r="G103" s="429">
        <v>1900000</v>
      </c>
      <c r="H103" s="429">
        <f>[2]Nov!I112</f>
        <v>9500000</v>
      </c>
      <c r="I103" s="429">
        <f t="shared" ref="I103" si="24">G103+H103</f>
        <v>11400000</v>
      </c>
      <c r="J103" s="429">
        <f t="shared" ref="J103" si="25">F103-I103</f>
        <v>0</v>
      </c>
      <c r="K103" s="426"/>
    </row>
    <row r="104" spans="1:11" hidden="1" x14ac:dyDescent="0.25">
      <c r="A104" s="439"/>
      <c r="B104" s="427"/>
      <c r="C104" s="427"/>
      <c r="D104" s="426"/>
      <c r="E104" s="428"/>
      <c r="F104" s="429"/>
      <c r="G104" s="429"/>
      <c r="H104" s="429"/>
      <c r="I104" s="429"/>
      <c r="J104" s="429"/>
      <c r="K104" s="426"/>
    </row>
    <row r="105" spans="1:11" x14ac:dyDescent="0.25">
      <c r="A105" s="438"/>
      <c r="B105" s="419" t="s">
        <v>400</v>
      </c>
      <c r="C105" s="438"/>
      <c r="D105" s="420" t="s">
        <v>401</v>
      </c>
      <c r="E105" s="418"/>
      <c r="F105" s="421">
        <f>F106+F111+F116</f>
        <v>13402000</v>
      </c>
      <c r="G105" s="421">
        <f>G106+G111+G116</f>
        <v>2550000</v>
      </c>
      <c r="H105" s="421">
        <f>H106+H111+H116</f>
        <v>10804000</v>
      </c>
      <c r="I105" s="421">
        <f>I106+I111+I116</f>
        <v>13354000</v>
      </c>
      <c r="J105" s="421">
        <f>J106+J111+J116</f>
        <v>48000</v>
      </c>
      <c r="K105" s="418"/>
    </row>
    <row r="106" spans="1:11" x14ac:dyDescent="0.25">
      <c r="A106" s="438"/>
      <c r="B106" s="419" t="s">
        <v>402</v>
      </c>
      <c r="C106" s="438"/>
      <c r="D106" s="418"/>
      <c r="E106" s="420" t="s">
        <v>403</v>
      </c>
      <c r="F106" s="421">
        <f t="shared" ref="F106:J107" si="26">F107</f>
        <v>9960000</v>
      </c>
      <c r="G106" s="421">
        <f t="shared" si="26"/>
        <v>0</v>
      </c>
      <c r="H106" s="421">
        <f t="shared" si="26"/>
        <v>9960000</v>
      </c>
      <c r="I106" s="421">
        <f t="shared" si="26"/>
        <v>9960000</v>
      </c>
      <c r="J106" s="421">
        <f t="shared" si="26"/>
        <v>0</v>
      </c>
      <c r="K106" s="418"/>
    </row>
    <row r="107" spans="1:11" hidden="1" x14ac:dyDescent="0.25">
      <c r="A107" s="438"/>
      <c r="B107" s="419" t="s">
        <v>402</v>
      </c>
      <c r="C107" s="419" t="s">
        <v>404</v>
      </c>
      <c r="D107" s="418"/>
      <c r="E107" s="420" t="s">
        <v>68</v>
      </c>
      <c r="F107" s="421">
        <f t="shared" si="26"/>
        <v>9960000</v>
      </c>
      <c r="G107" s="421">
        <f t="shared" si="26"/>
        <v>0</v>
      </c>
      <c r="H107" s="421">
        <f t="shared" si="26"/>
        <v>9960000</v>
      </c>
      <c r="I107" s="421">
        <f t="shared" si="26"/>
        <v>9960000</v>
      </c>
      <c r="J107" s="421">
        <f t="shared" si="26"/>
        <v>0</v>
      </c>
      <c r="K107" s="418"/>
    </row>
    <row r="108" spans="1:11" hidden="1" x14ac:dyDescent="0.25">
      <c r="A108" s="438"/>
      <c r="B108" s="423" t="s">
        <v>402</v>
      </c>
      <c r="C108" s="423" t="s">
        <v>405</v>
      </c>
      <c r="D108" s="422"/>
      <c r="E108" s="424" t="s">
        <v>406</v>
      </c>
      <c r="F108" s="425">
        <f>SUM(F109)</f>
        <v>9960000</v>
      </c>
      <c r="G108" s="425">
        <f>SUM(G109)</f>
        <v>0</v>
      </c>
      <c r="H108" s="425">
        <f>SUM(H109)</f>
        <v>9960000</v>
      </c>
      <c r="I108" s="425">
        <f>SUM(I109)</f>
        <v>9960000</v>
      </c>
      <c r="J108" s="425">
        <f>SUM(J109)</f>
        <v>0</v>
      </c>
      <c r="K108" s="422"/>
    </row>
    <row r="109" spans="1:11" hidden="1" x14ac:dyDescent="0.25">
      <c r="A109" s="438"/>
      <c r="B109" s="427" t="s">
        <v>402</v>
      </c>
      <c r="C109" s="427" t="s">
        <v>407</v>
      </c>
      <c r="D109" s="426"/>
      <c r="E109" s="428" t="s">
        <v>408</v>
      </c>
      <c r="F109" s="429">
        <v>9960000</v>
      </c>
      <c r="G109" s="429">
        <v>0</v>
      </c>
      <c r="H109" s="429">
        <f>[2]Nov!I118</f>
        <v>9960000</v>
      </c>
      <c r="I109" s="429">
        <f t="shared" ref="I109" si="27">G109+H109</f>
        <v>9960000</v>
      </c>
      <c r="J109" s="429">
        <f t="shared" ref="J109" si="28">F109-I109</f>
        <v>0</v>
      </c>
      <c r="K109" s="426"/>
    </row>
    <row r="110" spans="1:11" hidden="1" x14ac:dyDescent="0.25">
      <c r="A110" s="438"/>
      <c r="B110" s="419"/>
      <c r="C110" s="438"/>
      <c r="D110" s="420"/>
      <c r="E110" s="418"/>
      <c r="F110" s="421"/>
      <c r="G110" s="421"/>
      <c r="H110" s="421"/>
      <c r="I110" s="421"/>
      <c r="J110" s="421"/>
      <c r="K110" s="418"/>
    </row>
    <row r="111" spans="1:11" x14ac:dyDescent="0.25">
      <c r="A111" s="438"/>
      <c r="B111" s="419" t="s">
        <v>409</v>
      </c>
      <c r="C111" s="438"/>
      <c r="D111" s="418"/>
      <c r="E111" s="420" t="s">
        <v>410</v>
      </c>
      <c r="F111" s="421">
        <f t="shared" ref="F111:J112" si="29">F112</f>
        <v>1912000</v>
      </c>
      <c r="G111" s="421">
        <f t="shared" si="29"/>
        <v>1360000</v>
      </c>
      <c r="H111" s="421">
        <f t="shared" si="29"/>
        <v>504000</v>
      </c>
      <c r="I111" s="421">
        <f t="shared" si="29"/>
        <v>1864000</v>
      </c>
      <c r="J111" s="421">
        <f t="shared" si="29"/>
        <v>48000</v>
      </c>
      <c r="K111" s="418"/>
    </row>
    <row r="112" spans="1:11" hidden="1" x14ac:dyDescent="0.25">
      <c r="A112" s="438"/>
      <c r="B112" s="419" t="s">
        <v>409</v>
      </c>
      <c r="C112" s="419" t="s">
        <v>359</v>
      </c>
      <c r="D112" s="418"/>
      <c r="E112" s="420" t="s">
        <v>67</v>
      </c>
      <c r="F112" s="421">
        <f t="shared" si="29"/>
        <v>1912000</v>
      </c>
      <c r="G112" s="421">
        <f t="shared" si="29"/>
        <v>1360000</v>
      </c>
      <c r="H112" s="421">
        <f t="shared" si="29"/>
        <v>504000</v>
      </c>
      <c r="I112" s="421">
        <f t="shared" si="29"/>
        <v>1864000</v>
      </c>
      <c r="J112" s="421">
        <f t="shared" si="29"/>
        <v>48000</v>
      </c>
      <c r="K112" s="418"/>
    </row>
    <row r="113" spans="1:11" hidden="1" x14ac:dyDescent="0.25">
      <c r="A113" s="440"/>
      <c r="B113" s="423" t="s">
        <v>409</v>
      </c>
      <c r="C113" s="423" t="s">
        <v>411</v>
      </c>
      <c r="D113" s="422"/>
      <c r="E113" s="424" t="s">
        <v>79</v>
      </c>
      <c r="F113" s="425">
        <f>SUM(F114)</f>
        <v>1912000</v>
      </c>
      <c r="G113" s="425">
        <f>SUM(G114)</f>
        <v>1360000</v>
      </c>
      <c r="H113" s="425">
        <f>SUM(H114)</f>
        <v>504000</v>
      </c>
      <c r="I113" s="425">
        <f>SUM(I114)</f>
        <v>1864000</v>
      </c>
      <c r="J113" s="425">
        <f>SUM(J114)</f>
        <v>48000</v>
      </c>
      <c r="K113" s="422"/>
    </row>
    <row r="114" spans="1:11" hidden="1" x14ac:dyDescent="0.25">
      <c r="A114" s="439"/>
      <c r="B114" s="427" t="s">
        <v>409</v>
      </c>
      <c r="C114" s="427" t="s">
        <v>412</v>
      </c>
      <c r="D114" s="426"/>
      <c r="E114" s="428" t="s">
        <v>413</v>
      </c>
      <c r="F114" s="429">
        <v>1912000</v>
      </c>
      <c r="G114" s="429">
        <f>360000+1000000</f>
        <v>1360000</v>
      </c>
      <c r="H114" s="429">
        <f>[2]Nov!I123</f>
        <v>504000</v>
      </c>
      <c r="I114" s="429">
        <f t="shared" ref="I114" si="30">G114+H114</f>
        <v>1864000</v>
      </c>
      <c r="J114" s="429">
        <f t="shared" ref="J114" si="31">F114-I114</f>
        <v>48000</v>
      </c>
      <c r="K114" s="426"/>
    </row>
    <row r="115" spans="1:11" hidden="1" x14ac:dyDescent="0.25">
      <c r="A115" s="439"/>
      <c r="B115" s="427"/>
      <c r="C115" s="427"/>
      <c r="D115" s="426"/>
      <c r="E115" s="428"/>
      <c r="F115" s="429"/>
      <c r="G115" s="429"/>
      <c r="H115" s="429"/>
      <c r="I115" s="429"/>
      <c r="J115" s="429"/>
      <c r="K115" s="426"/>
    </row>
    <row r="116" spans="1:11" x14ac:dyDescent="0.25">
      <c r="A116" s="438"/>
      <c r="B116" s="419" t="s">
        <v>414</v>
      </c>
      <c r="C116" s="438"/>
      <c r="D116" s="418"/>
      <c r="E116" s="420" t="s">
        <v>415</v>
      </c>
      <c r="F116" s="421">
        <f t="shared" ref="F116:J117" si="32">F117</f>
        <v>1530000</v>
      </c>
      <c r="G116" s="421">
        <f t="shared" si="32"/>
        <v>1190000</v>
      </c>
      <c r="H116" s="421">
        <f t="shared" si="32"/>
        <v>340000</v>
      </c>
      <c r="I116" s="421">
        <f t="shared" si="32"/>
        <v>1530000</v>
      </c>
      <c r="J116" s="421">
        <f t="shared" si="32"/>
        <v>0</v>
      </c>
      <c r="K116" s="418"/>
    </row>
    <row r="117" spans="1:11" hidden="1" x14ac:dyDescent="0.25">
      <c r="A117" s="438"/>
      <c r="B117" s="419" t="s">
        <v>414</v>
      </c>
      <c r="C117" s="419" t="s">
        <v>359</v>
      </c>
      <c r="D117" s="418"/>
      <c r="E117" s="420" t="s">
        <v>67</v>
      </c>
      <c r="F117" s="421">
        <f t="shared" si="32"/>
        <v>1530000</v>
      </c>
      <c r="G117" s="421">
        <f t="shared" si="32"/>
        <v>1190000</v>
      </c>
      <c r="H117" s="421">
        <f t="shared" si="32"/>
        <v>340000</v>
      </c>
      <c r="I117" s="421">
        <f t="shared" si="32"/>
        <v>1530000</v>
      </c>
      <c r="J117" s="421">
        <f t="shared" si="32"/>
        <v>0</v>
      </c>
      <c r="K117" s="418"/>
    </row>
    <row r="118" spans="1:11" hidden="1" x14ac:dyDescent="0.25">
      <c r="A118" s="440"/>
      <c r="B118" s="423" t="s">
        <v>414</v>
      </c>
      <c r="C118" s="423" t="s">
        <v>411</v>
      </c>
      <c r="D118" s="422"/>
      <c r="E118" s="424" t="s">
        <v>79</v>
      </c>
      <c r="F118" s="425">
        <f>SUM(F119)</f>
        <v>1530000</v>
      </c>
      <c r="G118" s="425">
        <f>SUM(G119)</f>
        <v>1190000</v>
      </c>
      <c r="H118" s="425">
        <f>SUM(H119)</f>
        <v>340000</v>
      </c>
      <c r="I118" s="425">
        <f>SUM(I119)</f>
        <v>1530000</v>
      </c>
      <c r="J118" s="425">
        <f>SUM(J119)</f>
        <v>0</v>
      </c>
      <c r="K118" s="422"/>
    </row>
    <row r="119" spans="1:11" hidden="1" x14ac:dyDescent="0.25">
      <c r="A119" s="439"/>
      <c r="B119" s="427" t="s">
        <v>414</v>
      </c>
      <c r="C119" s="427" t="s">
        <v>416</v>
      </c>
      <c r="D119" s="426"/>
      <c r="E119" s="428" t="s">
        <v>417</v>
      </c>
      <c r="F119" s="429">
        <v>1530000</v>
      </c>
      <c r="G119" s="429">
        <v>1190000</v>
      </c>
      <c r="H119" s="429">
        <f>[2]Nov!I128</f>
        <v>340000</v>
      </c>
      <c r="I119" s="429">
        <f t="shared" ref="I119" si="33">G119+H119</f>
        <v>1530000</v>
      </c>
      <c r="J119" s="429">
        <f t="shared" ref="J119" si="34">F119-I119</f>
        <v>0</v>
      </c>
      <c r="K119" s="426"/>
    </row>
    <row r="120" spans="1:11" hidden="1" x14ac:dyDescent="0.25">
      <c r="A120" s="450"/>
      <c r="B120" s="451"/>
      <c r="C120" s="451"/>
      <c r="D120" s="452"/>
      <c r="E120" s="453"/>
      <c r="F120" s="454"/>
      <c r="G120" s="454"/>
      <c r="H120" s="454"/>
      <c r="I120" s="454"/>
      <c r="J120" s="454"/>
      <c r="K120" s="452"/>
    </row>
    <row r="121" spans="1:11" x14ac:dyDescent="0.25">
      <c r="A121" s="438"/>
      <c r="B121" s="449" t="s">
        <v>418</v>
      </c>
      <c r="C121" s="438"/>
      <c r="D121" s="540" t="s">
        <v>419</v>
      </c>
      <c r="E121" s="540"/>
      <c r="F121" s="443">
        <f>F122+F130+F137</f>
        <v>17646200</v>
      </c>
      <c r="G121" s="443">
        <f>G122+G130+G137</f>
        <v>12347500</v>
      </c>
      <c r="H121" s="443">
        <f>H122+H130+H137</f>
        <v>4718500</v>
      </c>
      <c r="I121" s="443">
        <f>I122+I130+I137</f>
        <v>17066000</v>
      </c>
      <c r="J121" s="443">
        <f>J122+J130+J137</f>
        <v>580200</v>
      </c>
      <c r="K121" s="418"/>
    </row>
    <row r="122" spans="1:11" x14ac:dyDescent="0.25">
      <c r="A122" s="438"/>
      <c r="B122" s="419" t="s">
        <v>420</v>
      </c>
      <c r="C122" s="438"/>
      <c r="D122" s="418"/>
      <c r="E122" s="420" t="s">
        <v>421</v>
      </c>
      <c r="F122" s="421">
        <f>F123</f>
        <v>10547500</v>
      </c>
      <c r="G122" s="421">
        <f>G123</f>
        <v>10547500</v>
      </c>
      <c r="H122" s="421">
        <f>H123</f>
        <v>0</v>
      </c>
      <c r="I122" s="421">
        <f>I123</f>
        <v>10547500</v>
      </c>
      <c r="J122" s="421">
        <f>J123</f>
        <v>0</v>
      </c>
      <c r="K122" s="418"/>
    </row>
    <row r="123" spans="1:11" hidden="1" x14ac:dyDescent="0.25">
      <c r="A123" s="438"/>
      <c r="B123" s="419" t="s">
        <v>420</v>
      </c>
      <c r="C123" s="419" t="s">
        <v>359</v>
      </c>
      <c r="D123" s="418"/>
      <c r="E123" s="420" t="s">
        <v>67</v>
      </c>
      <c r="F123" s="421">
        <f>F124+F127</f>
        <v>10547500</v>
      </c>
      <c r="G123" s="421">
        <f>G124+G127</f>
        <v>10547500</v>
      </c>
      <c r="H123" s="421">
        <f>H124+H127</f>
        <v>0</v>
      </c>
      <c r="I123" s="421">
        <f>I124+I127</f>
        <v>10547500</v>
      </c>
      <c r="J123" s="421">
        <f>J124+J127</f>
        <v>0</v>
      </c>
      <c r="K123" s="418"/>
    </row>
    <row r="124" spans="1:11" hidden="1" x14ac:dyDescent="0.25">
      <c r="A124" s="440"/>
      <c r="B124" s="423" t="s">
        <v>420</v>
      </c>
      <c r="C124" s="423" t="s">
        <v>360</v>
      </c>
      <c r="D124" s="422"/>
      <c r="E124" s="424" t="s">
        <v>361</v>
      </c>
      <c r="F124" s="425">
        <f>SUM(F125:F126)</f>
        <v>3377500</v>
      </c>
      <c r="G124" s="425">
        <f>SUM(G125:G126)</f>
        <v>3377500</v>
      </c>
      <c r="H124" s="425">
        <f>SUM(H125:H126)</f>
        <v>0</v>
      </c>
      <c r="I124" s="425">
        <f>SUM(I125:I126)</f>
        <v>3377500</v>
      </c>
      <c r="J124" s="425">
        <f>SUM(J125:J126)</f>
        <v>0</v>
      </c>
      <c r="K124" s="422"/>
    </row>
    <row r="125" spans="1:11" hidden="1" x14ac:dyDescent="0.25">
      <c r="A125" s="439"/>
      <c r="B125" s="427" t="s">
        <v>420</v>
      </c>
      <c r="C125" s="427" t="s">
        <v>366</v>
      </c>
      <c r="D125" s="426"/>
      <c r="E125" s="428" t="s">
        <v>367</v>
      </c>
      <c r="F125" s="429">
        <v>3227500</v>
      </c>
      <c r="G125" s="429">
        <f>2987500+195000+45000</f>
        <v>3227500</v>
      </c>
      <c r="H125" s="429">
        <f>[2]Nov!I140</f>
        <v>0</v>
      </c>
      <c r="I125" s="429">
        <f t="shared" ref="I125:I126" si="35">G125+H125</f>
        <v>3227500</v>
      </c>
      <c r="J125" s="429">
        <f t="shared" ref="J125:J126" si="36">F125-I125</f>
        <v>0</v>
      </c>
      <c r="K125" s="426"/>
    </row>
    <row r="126" spans="1:11" hidden="1" x14ac:dyDescent="0.25">
      <c r="A126" s="439"/>
      <c r="B126" s="427" t="s">
        <v>420</v>
      </c>
      <c r="C126" s="427" t="s">
        <v>368</v>
      </c>
      <c r="D126" s="426"/>
      <c r="E126" s="428" t="s">
        <v>369</v>
      </c>
      <c r="F126" s="429">
        <v>150000</v>
      </c>
      <c r="G126" s="429">
        <v>150000</v>
      </c>
      <c r="H126" s="429">
        <f>[2]Nov!I141</f>
        <v>0</v>
      </c>
      <c r="I126" s="429">
        <f t="shared" si="35"/>
        <v>150000</v>
      </c>
      <c r="J126" s="429">
        <f t="shared" si="36"/>
        <v>0</v>
      </c>
      <c r="K126" s="426"/>
    </row>
    <row r="127" spans="1:11" hidden="1" x14ac:dyDescent="0.25">
      <c r="A127" s="440"/>
      <c r="B127" s="423" t="s">
        <v>420</v>
      </c>
      <c r="C127" s="423" t="s">
        <v>370</v>
      </c>
      <c r="D127" s="422"/>
      <c r="E127" s="424" t="s">
        <v>81</v>
      </c>
      <c r="F127" s="425">
        <f>SUM(F128)</f>
        <v>7170000</v>
      </c>
      <c r="G127" s="425">
        <f>SUM(G128)</f>
        <v>7170000</v>
      </c>
      <c r="H127" s="425">
        <f>SUM(H128)</f>
        <v>0</v>
      </c>
      <c r="I127" s="425">
        <f>SUM(I128)</f>
        <v>7170000</v>
      </c>
      <c r="J127" s="425">
        <f>SUM(J128)</f>
        <v>0</v>
      </c>
      <c r="K127" s="422"/>
    </row>
    <row r="128" spans="1:11" hidden="1" x14ac:dyDescent="0.25">
      <c r="A128" s="450"/>
      <c r="B128" s="451" t="s">
        <v>420</v>
      </c>
      <c r="C128" s="451" t="s">
        <v>422</v>
      </c>
      <c r="D128" s="452"/>
      <c r="E128" s="453" t="s">
        <v>423</v>
      </c>
      <c r="F128" s="454">
        <v>7170000</v>
      </c>
      <c r="G128" s="454">
        <f>3585000+3585000</f>
        <v>7170000</v>
      </c>
      <c r="H128" s="429">
        <f>[2]Nov!I143</f>
        <v>0</v>
      </c>
      <c r="I128" s="454">
        <f t="shared" ref="I128" si="37">G128+H128</f>
        <v>7170000</v>
      </c>
      <c r="J128" s="454">
        <f t="shared" ref="J128" si="38">F128-I128</f>
        <v>0</v>
      </c>
      <c r="K128" s="452"/>
    </row>
    <row r="129" spans="1:11" hidden="1" x14ac:dyDescent="0.25">
      <c r="A129" s="439"/>
      <c r="B129" s="427"/>
      <c r="C129" s="427"/>
      <c r="D129" s="426"/>
      <c r="E129" s="428"/>
      <c r="F129" s="429"/>
      <c r="G129" s="429"/>
      <c r="H129" s="429"/>
      <c r="I129" s="429"/>
      <c r="J129" s="429"/>
      <c r="K129" s="426"/>
    </row>
    <row r="130" spans="1:11" x14ac:dyDescent="0.25">
      <c r="A130" s="455"/>
      <c r="B130" s="456" t="s">
        <v>424</v>
      </c>
      <c r="C130" s="455"/>
      <c r="D130" s="457"/>
      <c r="E130" s="458" t="s">
        <v>425</v>
      </c>
      <c r="F130" s="459">
        <f t="shared" ref="F130:J131" si="39">F131</f>
        <v>545000</v>
      </c>
      <c r="G130" s="459">
        <f t="shared" si="39"/>
        <v>0</v>
      </c>
      <c r="H130" s="459">
        <f t="shared" si="39"/>
        <v>545000</v>
      </c>
      <c r="I130" s="459">
        <f t="shared" si="39"/>
        <v>545000</v>
      </c>
      <c r="J130" s="459">
        <f t="shared" si="39"/>
        <v>0</v>
      </c>
      <c r="K130" s="457"/>
    </row>
    <row r="131" spans="1:11" hidden="1" x14ac:dyDescent="0.25">
      <c r="A131" s="438"/>
      <c r="B131" s="419" t="s">
        <v>424</v>
      </c>
      <c r="C131" s="419" t="s">
        <v>359</v>
      </c>
      <c r="D131" s="418"/>
      <c r="E131" s="420" t="s">
        <v>67</v>
      </c>
      <c r="F131" s="421">
        <f t="shared" si="39"/>
        <v>545000</v>
      </c>
      <c r="G131" s="421">
        <f t="shared" si="39"/>
        <v>0</v>
      </c>
      <c r="H131" s="421">
        <f t="shared" si="39"/>
        <v>545000</v>
      </c>
      <c r="I131" s="421">
        <f t="shared" si="39"/>
        <v>545000</v>
      </c>
      <c r="J131" s="421">
        <f t="shared" si="39"/>
        <v>0</v>
      </c>
      <c r="K131" s="418"/>
    </row>
    <row r="132" spans="1:11" hidden="1" x14ac:dyDescent="0.25">
      <c r="A132" s="440"/>
      <c r="B132" s="423" t="s">
        <v>424</v>
      </c>
      <c r="C132" s="423" t="s">
        <v>360</v>
      </c>
      <c r="D132" s="422"/>
      <c r="E132" s="424" t="s">
        <v>361</v>
      </c>
      <c r="F132" s="425">
        <f>SUM(F133:F135)</f>
        <v>545000</v>
      </c>
      <c r="G132" s="425">
        <f>SUM(G133:G135)</f>
        <v>0</v>
      </c>
      <c r="H132" s="425">
        <f>SUM(H133:H135)</f>
        <v>545000</v>
      </c>
      <c r="I132" s="425">
        <f>SUM(I133:I135)</f>
        <v>545000</v>
      </c>
      <c r="J132" s="425">
        <f>SUM(J133:J135)</f>
        <v>0</v>
      </c>
      <c r="K132" s="422"/>
    </row>
    <row r="133" spans="1:11" hidden="1" x14ac:dyDescent="0.25">
      <c r="A133" s="439"/>
      <c r="B133" s="427" t="s">
        <v>424</v>
      </c>
      <c r="C133" s="427" t="s">
        <v>362</v>
      </c>
      <c r="D133" s="426"/>
      <c r="E133" s="428" t="s">
        <v>363</v>
      </c>
      <c r="F133" s="429">
        <v>65000</v>
      </c>
      <c r="G133" s="429">
        <v>0</v>
      </c>
      <c r="H133" s="429">
        <f>[2]Nov!I148</f>
        <v>65000</v>
      </c>
      <c r="I133" s="429">
        <f t="shared" ref="I133:I135" si="40">G133+H133</f>
        <v>65000</v>
      </c>
      <c r="J133" s="429">
        <f t="shared" ref="J133:J135" si="41">F133-I133</f>
        <v>0</v>
      </c>
      <c r="K133" s="426"/>
    </row>
    <row r="134" spans="1:11" hidden="1" x14ac:dyDescent="0.25">
      <c r="A134" s="439"/>
      <c r="B134" s="427" t="s">
        <v>424</v>
      </c>
      <c r="C134" s="427" t="s">
        <v>366</v>
      </c>
      <c r="D134" s="426"/>
      <c r="E134" s="428" t="s">
        <v>367</v>
      </c>
      <c r="F134" s="429">
        <v>120000</v>
      </c>
      <c r="G134" s="429">
        <v>0</v>
      </c>
      <c r="H134" s="429">
        <f>[2]Nov!I149</f>
        <v>120000</v>
      </c>
      <c r="I134" s="429">
        <f t="shared" si="40"/>
        <v>120000</v>
      </c>
      <c r="J134" s="429">
        <f t="shared" si="41"/>
        <v>0</v>
      </c>
      <c r="K134" s="426"/>
    </row>
    <row r="135" spans="1:11" hidden="1" x14ac:dyDescent="0.25">
      <c r="A135" s="439"/>
      <c r="B135" s="427" t="s">
        <v>424</v>
      </c>
      <c r="C135" s="427" t="s">
        <v>368</v>
      </c>
      <c r="D135" s="426"/>
      <c r="E135" s="428" t="s">
        <v>369</v>
      </c>
      <c r="F135" s="429">
        <v>360000</v>
      </c>
      <c r="G135" s="429">
        <v>0</v>
      </c>
      <c r="H135" s="429">
        <f>[2]Nov!I150</f>
        <v>360000</v>
      </c>
      <c r="I135" s="429">
        <f t="shared" si="40"/>
        <v>360000</v>
      </c>
      <c r="J135" s="429">
        <f t="shared" si="41"/>
        <v>0</v>
      </c>
      <c r="K135" s="426"/>
    </row>
    <row r="136" spans="1:11" hidden="1" x14ac:dyDescent="0.25">
      <c r="A136" s="439"/>
      <c r="B136" s="427"/>
      <c r="C136" s="427"/>
      <c r="D136" s="426"/>
      <c r="E136" s="428"/>
      <c r="F136" s="429"/>
      <c r="G136" s="429"/>
      <c r="H136" s="429"/>
      <c r="I136" s="429"/>
      <c r="J136" s="429"/>
      <c r="K136" s="426"/>
    </row>
    <row r="137" spans="1:11" x14ac:dyDescent="0.25">
      <c r="A137" s="438"/>
      <c r="B137" s="419" t="s">
        <v>426</v>
      </c>
      <c r="C137" s="438"/>
      <c r="D137" s="418"/>
      <c r="E137" s="420" t="s">
        <v>427</v>
      </c>
      <c r="F137" s="421">
        <f>F138</f>
        <v>6553700</v>
      </c>
      <c r="G137" s="421">
        <f>G138</f>
        <v>1800000</v>
      </c>
      <c r="H137" s="421">
        <f>H138</f>
        <v>4173500</v>
      </c>
      <c r="I137" s="421">
        <f>I138</f>
        <v>5973500</v>
      </c>
      <c r="J137" s="421">
        <f>J138</f>
        <v>580200</v>
      </c>
      <c r="K137" s="418"/>
    </row>
    <row r="138" spans="1:11" x14ac:dyDescent="0.25">
      <c r="A138" s="438"/>
      <c r="B138" s="419" t="s">
        <v>426</v>
      </c>
      <c r="C138" s="419" t="s">
        <v>359</v>
      </c>
      <c r="D138" s="418"/>
      <c r="E138" s="420" t="s">
        <v>67</v>
      </c>
      <c r="F138" s="421">
        <f>F139+F143</f>
        <v>6553700</v>
      </c>
      <c r="G138" s="421">
        <f>G139+G143</f>
        <v>1800000</v>
      </c>
      <c r="H138" s="421">
        <f>H139+H143</f>
        <v>4173500</v>
      </c>
      <c r="I138" s="421">
        <f>I139+I143</f>
        <v>5973500</v>
      </c>
      <c r="J138" s="421">
        <f>J139+J143</f>
        <v>580200</v>
      </c>
      <c r="K138" s="418"/>
    </row>
    <row r="139" spans="1:11" hidden="1" x14ac:dyDescent="0.25">
      <c r="A139" s="440"/>
      <c r="B139" s="423" t="s">
        <v>426</v>
      </c>
      <c r="C139" s="423" t="s">
        <v>360</v>
      </c>
      <c r="D139" s="422"/>
      <c r="E139" s="424" t="s">
        <v>361</v>
      </c>
      <c r="F139" s="425">
        <f>SUM(F140:F142)</f>
        <v>4133700</v>
      </c>
      <c r="G139" s="425">
        <f>SUM(G140:G142)</f>
        <v>0</v>
      </c>
      <c r="H139" s="425">
        <f>SUM(H140:H142)</f>
        <v>3553500</v>
      </c>
      <c r="I139" s="425">
        <f>SUM(I140:I142)</f>
        <v>3553500</v>
      </c>
      <c r="J139" s="425">
        <f>SUM(J140:J142)</f>
        <v>580200</v>
      </c>
      <c r="K139" s="422"/>
    </row>
    <row r="140" spans="1:11" hidden="1" x14ac:dyDescent="0.25">
      <c r="A140" s="439"/>
      <c r="B140" s="427" t="s">
        <v>426</v>
      </c>
      <c r="C140" s="427" t="s">
        <v>362</v>
      </c>
      <c r="D140" s="426"/>
      <c r="E140" s="428" t="s">
        <v>363</v>
      </c>
      <c r="F140" s="429">
        <v>440000</v>
      </c>
      <c r="G140" s="429">
        <v>0</v>
      </c>
      <c r="H140" s="429">
        <f>[2]Nov!I155</f>
        <v>440000</v>
      </c>
      <c r="I140" s="429">
        <f t="shared" ref="I140:I142" si="42">G140+H140</f>
        <v>440000</v>
      </c>
      <c r="J140" s="429">
        <f t="shared" ref="J140:J142" si="43">F140-I140</f>
        <v>0</v>
      </c>
      <c r="K140" s="426"/>
    </row>
    <row r="141" spans="1:11" hidden="1" x14ac:dyDescent="0.25">
      <c r="A141" s="439"/>
      <c r="B141" s="427" t="s">
        <v>426</v>
      </c>
      <c r="C141" s="427" t="s">
        <v>366</v>
      </c>
      <c r="D141" s="426"/>
      <c r="E141" s="428" t="s">
        <v>367</v>
      </c>
      <c r="F141" s="429">
        <v>893700</v>
      </c>
      <c r="G141" s="429">
        <v>0</v>
      </c>
      <c r="H141" s="429">
        <f>[2]Nov!I156</f>
        <v>393500</v>
      </c>
      <c r="I141" s="429">
        <f t="shared" si="42"/>
        <v>393500</v>
      </c>
      <c r="J141" s="429">
        <f t="shared" si="43"/>
        <v>500200</v>
      </c>
      <c r="K141" s="426"/>
    </row>
    <row r="142" spans="1:11" hidden="1" x14ac:dyDescent="0.25">
      <c r="A142" s="439"/>
      <c r="B142" s="427" t="s">
        <v>426</v>
      </c>
      <c r="C142" s="427" t="s">
        <v>368</v>
      </c>
      <c r="D142" s="426"/>
      <c r="E142" s="428" t="s">
        <v>369</v>
      </c>
      <c r="F142" s="429">
        <v>2800000</v>
      </c>
      <c r="G142" s="429">
        <v>0</v>
      </c>
      <c r="H142" s="429">
        <f>[2]Nov!I157</f>
        <v>2720000</v>
      </c>
      <c r="I142" s="429">
        <f t="shared" si="42"/>
        <v>2720000</v>
      </c>
      <c r="J142" s="429">
        <f t="shared" si="43"/>
        <v>80000</v>
      </c>
      <c r="K142" s="426"/>
    </row>
    <row r="143" spans="1:11" hidden="1" x14ac:dyDescent="0.25">
      <c r="A143" s="440"/>
      <c r="B143" s="423" t="s">
        <v>426</v>
      </c>
      <c r="C143" s="423" t="s">
        <v>370</v>
      </c>
      <c r="D143" s="422"/>
      <c r="E143" s="424" t="s">
        <v>81</v>
      </c>
      <c r="F143" s="425">
        <f>SUM(F144)</f>
        <v>2420000</v>
      </c>
      <c r="G143" s="425">
        <f>SUM(G144)</f>
        <v>1800000</v>
      </c>
      <c r="H143" s="425">
        <f>SUM(H144)</f>
        <v>620000</v>
      </c>
      <c r="I143" s="425">
        <f>SUM(I144)</f>
        <v>2420000</v>
      </c>
      <c r="J143" s="425">
        <f>SUM(J144)</f>
        <v>0</v>
      </c>
      <c r="K143" s="422"/>
    </row>
    <row r="144" spans="1:11" hidden="1" x14ac:dyDescent="0.25">
      <c r="A144" s="439"/>
      <c r="B144" s="427" t="s">
        <v>426</v>
      </c>
      <c r="C144" s="427" t="s">
        <v>422</v>
      </c>
      <c r="D144" s="426"/>
      <c r="E144" s="428" t="s">
        <v>423</v>
      </c>
      <c r="F144" s="429">
        <v>2420000</v>
      </c>
      <c r="G144" s="429">
        <f>900000+900000</f>
        <v>1800000</v>
      </c>
      <c r="H144" s="429">
        <f>[2]Nov!I159</f>
        <v>620000</v>
      </c>
      <c r="I144" s="429">
        <f t="shared" ref="I144" si="44">G144+H144</f>
        <v>2420000</v>
      </c>
      <c r="J144" s="429">
        <f t="shared" ref="J144" si="45">F144-I144</f>
        <v>0</v>
      </c>
      <c r="K144" s="426"/>
    </row>
    <row r="145" spans="1:11" hidden="1" x14ac:dyDescent="0.25">
      <c r="A145" s="439"/>
      <c r="B145" s="427"/>
      <c r="C145" s="427"/>
      <c r="D145" s="426"/>
      <c r="E145" s="428"/>
      <c r="F145" s="429"/>
      <c r="G145" s="429"/>
      <c r="H145" s="429"/>
      <c r="I145" s="429"/>
      <c r="J145" s="429"/>
      <c r="K145" s="426"/>
    </row>
    <row r="146" spans="1:11" x14ac:dyDescent="0.25">
      <c r="A146" s="438"/>
      <c r="B146" s="449" t="s">
        <v>428</v>
      </c>
      <c r="C146" s="438"/>
      <c r="D146" s="540" t="s">
        <v>429</v>
      </c>
      <c r="E146" s="540"/>
      <c r="F146" s="443">
        <f>F147+F154+F160+F169+F175+F181+F187+F195+F201+F213</f>
        <v>79747716</v>
      </c>
      <c r="G146" s="443">
        <f>G147+G154+G160+G169+G175+G181+G187+G195+G201+G213</f>
        <v>31949800</v>
      </c>
      <c r="H146" s="443">
        <f>H147+H154+H160+H169+H175+H181+H187+H195+H201+H213</f>
        <v>44879250</v>
      </c>
      <c r="I146" s="443">
        <f>I147+I154+I160+I169+I175+I181+I187+I195+I201+I213</f>
        <v>76829050</v>
      </c>
      <c r="J146" s="443">
        <f>J147+J154+J160+J169+J175+J181+J187+J195+J201+J213</f>
        <v>2918666</v>
      </c>
      <c r="K146" s="418"/>
    </row>
    <row r="147" spans="1:11" ht="25.5" x14ac:dyDescent="0.25">
      <c r="A147" s="438"/>
      <c r="B147" s="449" t="s">
        <v>430</v>
      </c>
      <c r="C147" s="438"/>
      <c r="D147" s="418"/>
      <c r="E147" s="484" t="s">
        <v>431</v>
      </c>
      <c r="F147" s="443">
        <f t="shared" ref="F147:J148" si="46">F148</f>
        <v>11936858</v>
      </c>
      <c r="G147" s="443">
        <f t="shared" si="46"/>
        <v>800000</v>
      </c>
      <c r="H147" s="443">
        <f t="shared" si="46"/>
        <v>9656750</v>
      </c>
      <c r="I147" s="443">
        <f t="shared" si="46"/>
        <v>10456750</v>
      </c>
      <c r="J147" s="443">
        <f t="shared" si="46"/>
        <v>1480108</v>
      </c>
      <c r="K147" s="418"/>
    </row>
    <row r="148" spans="1:11" ht="0.75" customHeight="1" x14ac:dyDescent="0.25">
      <c r="A148" s="438"/>
      <c r="B148" s="419" t="s">
        <v>430</v>
      </c>
      <c r="C148" s="419" t="s">
        <v>359</v>
      </c>
      <c r="D148" s="418"/>
      <c r="E148" s="420" t="s">
        <v>67</v>
      </c>
      <c r="F148" s="421">
        <f t="shared" si="46"/>
        <v>11936858</v>
      </c>
      <c r="G148" s="421">
        <f t="shared" si="46"/>
        <v>800000</v>
      </c>
      <c r="H148" s="421">
        <f t="shared" si="46"/>
        <v>9656750</v>
      </c>
      <c r="I148" s="421">
        <f t="shared" si="46"/>
        <v>10456750</v>
      </c>
      <c r="J148" s="421">
        <f t="shared" si="46"/>
        <v>1480108</v>
      </c>
      <c r="K148" s="418"/>
    </row>
    <row r="149" spans="1:11" hidden="1" x14ac:dyDescent="0.25">
      <c r="A149" s="440"/>
      <c r="B149" s="423" t="s">
        <v>430</v>
      </c>
      <c r="C149" s="423" t="s">
        <v>360</v>
      </c>
      <c r="D149" s="422"/>
      <c r="E149" s="424" t="s">
        <v>361</v>
      </c>
      <c r="F149" s="425">
        <f>SUM(F150:F152)</f>
        <v>11936858</v>
      </c>
      <c r="G149" s="425">
        <f>SUM(G150:G152)</f>
        <v>800000</v>
      </c>
      <c r="H149" s="425">
        <f>SUM(H150:H152)</f>
        <v>9656750</v>
      </c>
      <c r="I149" s="425">
        <f>SUM(I150:I152)</f>
        <v>10456750</v>
      </c>
      <c r="J149" s="425">
        <f>SUM(J150:J152)</f>
        <v>1480108</v>
      </c>
      <c r="K149" s="422"/>
    </row>
    <row r="150" spans="1:11" hidden="1" x14ac:dyDescent="0.25">
      <c r="A150" s="439"/>
      <c r="B150" s="427" t="s">
        <v>430</v>
      </c>
      <c r="C150" s="427" t="s">
        <v>362</v>
      </c>
      <c r="D150" s="426"/>
      <c r="E150" s="428" t="s">
        <v>363</v>
      </c>
      <c r="F150" s="429">
        <v>530000</v>
      </c>
      <c r="G150" s="429">
        <v>0</v>
      </c>
      <c r="H150" s="429">
        <f>[2]Nov!I165</f>
        <v>530000</v>
      </c>
      <c r="I150" s="429">
        <f t="shared" ref="I150:I152" si="47">G150+H150</f>
        <v>530000</v>
      </c>
      <c r="J150" s="429">
        <f t="shared" ref="J150:J152" si="48">F150-I150</f>
        <v>0</v>
      </c>
      <c r="K150" s="426"/>
    </row>
    <row r="151" spans="1:11" hidden="1" x14ac:dyDescent="0.25">
      <c r="A151" s="439"/>
      <c r="B151" s="427" t="s">
        <v>430</v>
      </c>
      <c r="C151" s="427" t="s">
        <v>366</v>
      </c>
      <c r="D151" s="426"/>
      <c r="E151" s="428" t="s">
        <v>367</v>
      </c>
      <c r="F151" s="429">
        <v>1206858</v>
      </c>
      <c r="G151" s="429">
        <v>0</v>
      </c>
      <c r="H151" s="429">
        <f>[2]Nov!I166</f>
        <v>1206750</v>
      </c>
      <c r="I151" s="429">
        <f t="shared" si="47"/>
        <v>1206750</v>
      </c>
      <c r="J151" s="429">
        <f t="shared" si="48"/>
        <v>108</v>
      </c>
      <c r="K151" s="426"/>
    </row>
    <row r="152" spans="1:11" hidden="1" x14ac:dyDescent="0.25">
      <c r="A152" s="439"/>
      <c r="B152" s="427" t="s">
        <v>430</v>
      </c>
      <c r="C152" s="427" t="s">
        <v>368</v>
      </c>
      <c r="D152" s="426"/>
      <c r="E152" s="428" t="s">
        <v>369</v>
      </c>
      <c r="F152" s="429">
        <v>10200000</v>
      </c>
      <c r="G152" s="429">
        <v>800000</v>
      </c>
      <c r="H152" s="429">
        <f>[2]Nov!I167</f>
        <v>7920000</v>
      </c>
      <c r="I152" s="429">
        <f t="shared" si="47"/>
        <v>8720000</v>
      </c>
      <c r="J152" s="429">
        <f t="shared" si="48"/>
        <v>1480000</v>
      </c>
      <c r="K152" s="426"/>
    </row>
    <row r="153" spans="1:11" hidden="1" x14ac:dyDescent="0.25">
      <c r="A153" s="439"/>
      <c r="B153" s="427"/>
      <c r="C153" s="427"/>
      <c r="D153" s="426"/>
      <c r="E153" s="428"/>
      <c r="F153" s="429"/>
      <c r="G153" s="429"/>
      <c r="H153" s="429"/>
      <c r="I153" s="429"/>
      <c r="J153" s="429"/>
      <c r="K153" s="426"/>
    </row>
    <row r="154" spans="1:11" ht="38.25" x14ac:dyDescent="0.25">
      <c r="A154" s="438"/>
      <c r="B154" s="449" t="s">
        <v>432</v>
      </c>
      <c r="C154" s="438"/>
      <c r="D154" s="418"/>
      <c r="E154" s="484" t="s">
        <v>433</v>
      </c>
      <c r="F154" s="443">
        <f t="shared" ref="F154:J155" si="49">F155</f>
        <v>4205500</v>
      </c>
      <c r="G154" s="443">
        <f t="shared" si="49"/>
        <v>0</v>
      </c>
      <c r="H154" s="443">
        <f t="shared" si="49"/>
        <v>4205500</v>
      </c>
      <c r="I154" s="443">
        <f t="shared" si="49"/>
        <v>4205500</v>
      </c>
      <c r="J154" s="443">
        <f t="shared" si="49"/>
        <v>0</v>
      </c>
      <c r="K154" s="418"/>
    </row>
    <row r="155" spans="1:11" hidden="1" x14ac:dyDescent="0.25">
      <c r="A155" s="438"/>
      <c r="B155" s="419" t="s">
        <v>432</v>
      </c>
      <c r="C155" s="419" t="s">
        <v>359</v>
      </c>
      <c r="D155" s="418"/>
      <c r="E155" s="420" t="s">
        <v>67</v>
      </c>
      <c r="F155" s="421">
        <f t="shared" si="49"/>
        <v>4205500</v>
      </c>
      <c r="G155" s="421">
        <f t="shared" si="49"/>
        <v>0</v>
      </c>
      <c r="H155" s="421">
        <f t="shared" si="49"/>
        <v>4205500</v>
      </c>
      <c r="I155" s="421">
        <f t="shared" si="49"/>
        <v>4205500</v>
      </c>
      <c r="J155" s="421">
        <f t="shared" si="49"/>
        <v>0</v>
      </c>
      <c r="K155" s="418"/>
    </row>
    <row r="156" spans="1:11" hidden="1" x14ac:dyDescent="0.25">
      <c r="A156" s="440"/>
      <c r="B156" s="423" t="s">
        <v>432</v>
      </c>
      <c r="C156" s="423" t="s">
        <v>360</v>
      </c>
      <c r="D156" s="422"/>
      <c r="E156" s="424" t="s">
        <v>361</v>
      </c>
      <c r="F156" s="425">
        <f>SUM(F157:F158)</f>
        <v>4205500</v>
      </c>
      <c r="G156" s="425">
        <f>SUM(G157:G158)</f>
        <v>0</v>
      </c>
      <c r="H156" s="425">
        <f>SUM(H157:H158)</f>
        <v>4205500</v>
      </c>
      <c r="I156" s="425">
        <f>SUM(I157:I158)</f>
        <v>4205500</v>
      </c>
      <c r="J156" s="425">
        <f>SUM(J157:J158)</f>
        <v>0</v>
      </c>
      <c r="K156" s="422"/>
    </row>
    <row r="157" spans="1:11" hidden="1" x14ac:dyDescent="0.25">
      <c r="A157" s="439"/>
      <c r="B157" s="427" t="s">
        <v>432</v>
      </c>
      <c r="C157" s="427" t="s">
        <v>366</v>
      </c>
      <c r="D157" s="426"/>
      <c r="E157" s="428" t="s">
        <v>367</v>
      </c>
      <c r="F157" s="429">
        <v>793000</v>
      </c>
      <c r="G157" s="429">
        <v>0</v>
      </c>
      <c r="H157" s="429">
        <f>[2]Nov!I172</f>
        <v>793000</v>
      </c>
      <c r="I157" s="429">
        <f t="shared" ref="I157:I158" si="50">G157+H157</f>
        <v>793000</v>
      </c>
      <c r="J157" s="429">
        <f t="shared" ref="J157:J158" si="51">F157-I157</f>
        <v>0</v>
      </c>
      <c r="K157" s="426"/>
    </row>
    <row r="158" spans="1:11" hidden="1" x14ac:dyDescent="0.25">
      <c r="A158" s="450"/>
      <c r="B158" s="451" t="s">
        <v>432</v>
      </c>
      <c r="C158" s="451" t="s">
        <v>368</v>
      </c>
      <c r="D158" s="452"/>
      <c r="E158" s="453" t="s">
        <v>369</v>
      </c>
      <c r="F158" s="454">
        <v>3412500</v>
      </c>
      <c r="G158" s="454">
        <v>0</v>
      </c>
      <c r="H158" s="429">
        <f>[2]Nov!I173</f>
        <v>3412500</v>
      </c>
      <c r="I158" s="454">
        <f t="shared" si="50"/>
        <v>3412500</v>
      </c>
      <c r="J158" s="454">
        <f t="shared" si="51"/>
        <v>0</v>
      </c>
      <c r="K158" s="452"/>
    </row>
    <row r="159" spans="1:11" hidden="1" x14ac:dyDescent="0.25">
      <c r="A159" s="450"/>
      <c r="B159" s="451"/>
      <c r="C159" s="451"/>
      <c r="D159" s="452"/>
      <c r="E159" s="453"/>
      <c r="F159" s="454"/>
      <c r="G159" s="454"/>
      <c r="H159" s="429"/>
      <c r="I159" s="454"/>
      <c r="J159" s="454"/>
      <c r="K159" s="452"/>
    </row>
    <row r="160" spans="1:11" x14ac:dyDescent="0.25">
      <c r="A160" s="438"/>
      <c r="B160" s="419" t="s">
        <v>434</v>
      </c>
      <c r="C160" s="438"/>
      <c r="D160" s="418"/>
      <c r="E160" s="420" t="s">
        <v>435</v>
      </c>
      <c r="F160" s="421">
        <f>F161</f>
        <v>7156858</v>
      </c>
      <c r="G160" s="421">
        <f>G161</f>
        <v>696750</v>
      </c>
      <c r="H160" s="421">
        <f>H161</f>
        <v>5800000</v>
      </c>
      <c r="I160" s="421">
        <f>I161</f>
        <v>6496750</v>
      </c>
      <c r="J160" s="421">
        <f>J161</f>
        <v>660108</v>
      </c>
      <c r="K160" s="418"/>
    </row>
    <row r="161" spans="1:11" ht="0.75" customHeight="1" x14ac:dyDescent="0.25">
      <c r="A161" s="438"/>
      <c r="B161" s="419" t="s">
        <v>434</v>
      </c>
      <c r="C161" s="419" t="s">
        <v>359</v>
      </c>
      <c r="D161" s="418"/>
      <c r="E161" s="420" t="s">
        <v>67</v>
      </c>
      <c r="F161" s="421">
        <f>F162+F166</f>
        <v>7156858</v>
      </c>
      <c r="G161" s="421">
        <f>G162+G166</f>
        <v>696750</v>
      </c>
      <c r="H161" s="421">
        <f>H162+H166</f>
        <v>5800000</v>
      </c>
      <c r="I161" s="421">
        <f>I162+I166</f>
        <v>6496750</v>
      </c>
      <c r="J161" s="421">
        <f>J162+J166</f>
        <v>660108</v>
      </c>
      <c r="K161" s="418"/>
    </row>
    <row r="162" spans="1:11" hidden="1" x14ac:dyDescent="0.25">
      <c r="A162" s="440"/>
      <c r="B162" s="423" t="s">
        <v>434</v>
      </c>
      <c r="C162" s="423" t="s">
        <v>360</v>
      </c>
      <c r="D162" s="422"/>
      <c r="E162" s="424" t="s">
        <v>361</v>
      </c>
      <c r="F162" s="425">
        <f>SUM(F163:F165)</f>
        <v>2956858</v>
      </c>
      <c r="G162" s="425">
        <f>SUM(G163:G165)</f>
        <v>696750</v>
      </c>
      <c r="H162" s="425">
        <f>SUM(H163:H165)</f>
        <v>1600000</v>
      </c>
      <c r="I162" s="425">
        <f>SUM(I163:I165)</f>
        <v>2296750</v>
      </c>
      <c r="J162" s="425">
        <f>SUM(J163:J165)</f>
        <v>660108</v>
      </c>
      <c r="K162" s="422"/>
    </row>
    <row r="163" spans="1:11" hidden="1" x14ac:dyDescent="0.25">
      <c r="A163" s="439"/>
      <c r="B163" s="427" t="s">
        <v>434</v>
      </c>
      <c r="C163" s="427" t="s">
        <v>362</v>
      </c>
      <c r="D163" s="426"/>
      <c r="E163" s="428" t="s">
        <v>363</v>
      </c>
      <c r="F163" s="429">
        <v>500000</v>
      </c>
      <c r="G163" s="429">
        <v>300000</v>
      </c>
      <c r="H163" s="429">
        <f>[2]Nov!I181</f>
        <v>200000</v>
      </c>
      <c r="I163" s="429">
        <f t="shared" ref="I163:I165" si="52">G163+H163</f>
        <v>500000</v>
      </c>
      <c r="J163" s="429">
        <f t="shared" ref="J163:J165" si="53">F163-I163</f>
        <v>0</v>
      </c>
      <c r="K163" s="426"/>
    </row>
    <row r="164" spans="1:11" hidden="1" x14ac:dyDescent="0.25">
      <c r="A164" s="439"/>
      <c r="B164" s="427" t="s">
        <v>434</v>
      </c>
      <c r="C164" s="427" t="s">
        <v>366</v>
      </c>
      <c r="D164" s="426"/>
      <c r="E164" s="428" t="s">
        <v>367</v>
      </c>
      <c r="F164" s="429">
        <v>696858</v>
      </c>
      <c r="G164" s="429">
        <v>396750</v>
      </c>
      <c r="H164" s="429">
        <f>[2]Nov!I182</f>
        <v>300000</v>
      </c>
      <c r="I164" s="429">
        <f t="shared" si="52"/>
        <v>696750</v>
      </c>
      <c r="J164" s="429">
        <f t="shared" si="53"/>
        <v>108</v>
      </c>
      <c r="K164" s="426"/>
    </row>
    <row r="165" spans="1:11" hidden="1" x14ac:dyDescent="0.25">
      <c r="A165" s="439"/>
      <c r="B165" s="427" t="s">
        <v>434</v>
      </c>
      <c r="C165" s="427" t="s">
        <v>368</v>
      </c>
      <c r="D165" s="426"/>
      <c r="E165" s="428" t="s">
        <v>369</v>
      </c>
      <c r="F165" s="429">
        <v>1760000</v>
      </c>
      <c r="G165" s="429">
        <v>0</v>
      </c>
      <c r="H165" s="429">
        <f>[2]Nov!I183</f>
        <v>1100000</v>
      </c>
      <c r="I165" s="429">
        <f t="shared" si="52"/>
        <v>1100000</v>
      </c>
      <c r="J165" s="429">
        <f t="shared" si="53"/>
        <v>660000</v>
      </c>
      <c r="K165" s="426"/>
    </row>
    <row r="166" spans="1:11" hidden="1" x14ac:dyDescent="0.25">
      <c r="A166" s="440"/>
      <c r="B166" s="423" t="s">
        <v>434</v>
      </c>
      <c r="C166" s="423" t="s">
        <v>370</v>
      </c>
      <c r="D166" s="422"/>
      <c r="E166" s="424" t="s">
        <v>81</v>
      </c>
      <c r="F166" s="425">
        <f>SUM(F167)</f>
        <v>4200000</v>
      </c>
      <c r="G166" s="425">
        <f>SUM(G167)</f>
        <v>0</v>
      </c>
      <c r="H166" s="425">
        <f>SUM(H167)</f>
        <v>4200000</v>
      </c>
      <c r="I166" s="425">
        <f>SUM(I167)</f>
        <v>4200000</v>
      </c>
      <c r="J166" s="425">
        <f>SUM(J167)</f>
        <v>0</v>
      </c>
      <c r="K166" s="422"/>
    </row>
    <row r="167" spans="1:11" hidden="1" x14ac:dyDescent="0.25">
      <c r="A167" s="450"/>
      <c r="B167" s="451" t="s">
        <v>434</v>
      </c>
      <c r="C167" s="451" t="s">
        <v>436</v>
      </c>
      <c r="D167" s="452"/>
      <c r="E167" s="453" t="s">
        <v>437</v>
      </c>
      <c r="F167" s="454">
        <v>4200000</v>
      </c>
      <c r="G167" s="454">
        <v>0</v>
      </c>
      <c r="H167" s="429">
        <f>[2]Nov!I185</f>
        <v>4200000</v>
      </c>
      <c r="I167" s="454">
        <f t="shared" ref="I167" si="54">G167+H167</f>
        <v>4200000</v>
      </c>
      <c r="J167" s="454">
        <f t="shared" ref="J167" si="55">F167-I167</f>
        <v>0</v>
      </c>
      <c r="K167" s="452"/>
    </row>
    <row r="168" spans="1:11" hidden="1" x14ac:dyDescent="0.25">
      <c r="A168" s="439"/>
      <c r="B168" s="427"/>
      <c r="C168" s="427"/>
      <c r="D168" s="426"/>
      <c r="E168" s="428"/>
      <c r="F168" s="429"/>
      <c r="G168" s="429"/>
      <c r="H168" s="429"/>
      <c r="I168" s="429"/>
      <c r="J168" s="429"/>
      <c r="K168" s="426"/>
    </row>
    <row r="169" spans="1:11" ht="25.5" x14ac:dyDescent="0.25">
      <c r="A169" s="455"/>
      <c r="B169" s="460" t="s">
        <v>438</v>
      </c>
      <c r="C169" s="455"/>
      <c r="D169" s="457"/>
      <c r="E169" s="461" t="s">
        <v>439</v>
      </c>
      <c r="F169" s="462">
        <f t="shared" ref="F169:J170" si="56">F170</f>
        <v>1452500</v>
      </c>
      <c r="G169" s="462">
        <f t="shared" si="56"/>
        <v>350000</v>
      </c>
      <c r="H169" s="462">
        <f t="shared" si="56"/>
        <v>1102500</v>
      </c>
      <c r="I169" s="462">
        <f t="shared" si="56"/>
        <v>1452500</v>
      </c>
      <c r="J169" s="462">
        <f t="shared" si="56"/>
        <v>0</v>
      </c>
      <c r="K169" s="457"/>
    </row>
    <row r="170" spans="1:11" hidden="1" x14ac:dyDescent="0.25">
      <c r="A170" s="438"/>
      <c r="B170" s="419" t="s">
        <v>438</v>
      </c>
      <c r="C170" s="419" t="s">
        <v>359</v>
      </c>
      <c r="D170" s="418"/>
      <c r="E170" s="420" t="s">
        <v>67</v>
      </c>
      <c r="F170" s="421">
        <f t="shared" si="56"/>
        <v>1452500</v>
      </c>
      <c r="G170" s="421">
        <f t="shared" si="56"/>
        <v>350000</v>
      </c>
      <c r="H170" s="421">
        <f t="shared" si="56"/>
        <v>1102500</v>
      </c>
      <c r="I170" s="421">
        <f t="shared" si="56"/>
        <v>1452500</v>
      </c>
      <c r="J170" s="421">
        <f t="shared" si="56"/>
        <v>0</v>
      </c>
      <c r="K170" s="418"/>
    </row>
    <row r="171" spans="1:11" hidden="1" x14ac:dyDescent="0.25">
      <c r="A171" s="440"/>
      <c r="B171" s="423" t="s">
        <v>438</v>
      </c>
      <c r="C171" s="423" t="s">
        <v>360</v>
      </c>
      <c r="D171" s="422"/>
      <c r="E171" s="424" t="s">
        <v>361</v>
      </c>
      <c r="F171" s="425">
        <f>SUM(F172:F173)</f>
        <v>1452500</v>
      </c>
      <c r="G171" s="425">
        <f>SUM(G172:G173)</f>
        <v>350000</v>
      </c>
      <c r="H171" s="425">
        <f>SUM(H172:H173)</f>
        <v>1102500</v>
      </c>
      <c r="I171" s="425">
        <f>SUM(I172:I173)</f>
        <v>1452500</v>
      </c>
      <c r="J171" s="425">
        <f>SUM(J172:J173)</f>
        <v>0</v>
      </c>
      <c r="K171" s="422"/>
    </row>
    <row r="172" spans="1:11" hidden="1" x14ac:dyDescent="0.25">
      <c r="A172" s="439"/>
      <c r="B172" s="427" t="s">
        <v>438</v>
      </c>
      <c r="C172" s="427" t="s">
        <v>362</v>
      </c>
      <c r="D172" s="426"/>
      <c r="E172" s="428" t="s">
        <v>363</v>
      </c>
      <c r="F172" s="429">
        <v>550000</v>
      </c>
      <c r="G172" s="429">
        <v>150000</v>
      </c>
      <c r="H172" s="429">
        <f>[2]Nov!I190</f>
        <v>400000</v>
      </c>
      <c r="I172" s="429">
        <f t="shared" ref="I172:I173" si="57">G172+H172</f>
        <v>550000</v>
      </c>
      <c r="J172" s="429">
        <f t="shared" ref="J172:J173" si="58">F172-I172</f>
        <v>0</v>
      </c>
      <c r="K172" s="426"/>
    </row>
    <row r="173" spans="1:11" hidden="1" x14ac:dyDescent="0.25">
      <c r="A173" s="439"/>
      <c r="B173" s="427" t="s">
        <v>438</v>
      </c>
      <c r="C173" s="427" t="s">
        <v>366</v>
      </c>
      <c r="D173" s="426"/>
      <c r="E173" s="428" t="s">
        <v>367</v>
      </c>
      <c r="F173" s="429">
        <v>902500</v>
      </c>
      <c r="G173" s="429">
        <v>200000</v>
      </c>
      <c r="H173" s="429">
        <f>[2]Nov!I191</f>
        <v>702500</v>
      </c>
      <c r="I173" s="429">
        <f t="shared" si="57"/>
        <v>902500</v>
      </c>
      <c r="J173" s="429">
        <f t="shared" si="58"/>
        <v>0</v>
      </c>
      <c r="K173" s="426"/>
    </row>
    <row r="174" spans="1:11" hidden="1" x14ac:dyDescent="0.25">
      <c r="A174" s="439"/>
      <c r="B174" s="427"/>
      <c r="C174" s="427"/>
      <c r="D174" s="426"/>
      <c r="E174" s="428"/>
      <c r="F174" s="429"/>
      <c r="G174" s="429"/>
      <c r="H174" s="429"/>
      <c r="I174" s="429"/>
      <c r="J174" s="429"/>
      <c r="K174" s="426"/>
    </row>
    <row r="175" spans="1:11" ht="25.5" x14ac:dyDescent="0.25">
      <c r="A175" s="438"/>
      <c r="B175" s="449" t="s">
        <v>440</v>
      </c>
      <c r="C175" s="438"/>
      <c r="D175" s="418"/>
      <c r="E175" s="484" t="s">
        <v>441</v>
      </c>
      <c r="F175" s="443">
        <f t="shared" ref="F175:J176" si="59">F176</f>
        <v>260000</v>
      </c>
      <c r="G175" s="443">
        <f t="shared" si="59"/>
        <v>260000</v>
      </c>
      <c r="H175" s="443">
        <f t="shared" si="59"/>
        <v>0</v>
      </c>
      <c r="I175" s="443">
        <f t="shared" si="59"/>
        <v>260000</v>
      </c>
      <c r="J175" s="443">
        <f t="shared" si="59"/>
        <v>0</v>
      </c>
      <c r="K175" s="418"/>
    </row>
    <row r="176" spans="1:11" hidden="1" x14ac:dyDescent="0.25">
      <c r="A176" s="438"/>
      <c r="B176" s="419" t="s">
        <v>440</v>
      </c>
      <c r="C176" s="419" t="s">
        <v>359</v>
      </c>
      <c r="D176" s="418"/>
      <c r="E176" s="420" t="s">
        <v>67</v>
      </c>
      <c r="F176" s="421">
        <f t="shared" si="59"/>
        <v>260000</v>
      </c>
      <c r="G176" s="421">
        <f t="shared" si="59"/>
        <v>260000</v>
      </c>
      <c r="H176" s="421">
        <f t="shared" si="59"/>
        <v>0</v>
      </c>
      <c r="I176" s="421">
        <f t="shared" si="59"/>
        <v>260000</v>
      </c>
      <c r="J176" s="421">
        <f t="shared" si="59"/>
        <v>0</v>
      </c>
      <c r="K176" s="418"/>
    </row>
    <row r="177" spans="1:11" hidden="1" x14ac:dyDescent="0.25">
      <c r="A177" s="440"/>
      <c r="B177" s="423" t="s">
        <v>440</v>
      </c>
      <c r="C177" s="423" t="s">
        <v>360</v>
      </c>
      <c r="D177" s="422"/>
      <c r="E177" s="424" t="s">
        <v>361</v>
      </c>
      <c r="F177" s="425">
        <f>SUM(F178:F179)</f>
        <v>260000</v>
      </c>
      <c r="G177" s="425">
        <f>SUM(G178:G179)</f>
        <v>260000</v>
      </c>
      <c r="H177" s="425">
        <f>SUM(H178:H179)</f>
        <v>0</v>
      </c>
      <c r="I177" s="425">
        <f>SUM(I178:I179)</f>
        <v>260000</v>
      </c>
      <c r="J177" s="425">
        <f>SUM(J178:J179)</f>
        <v>0</v>
      </c>
      <c r="K177" s="422"/>
    </row>
    <row r="178" spans="1:11" hidden="1" x14ac:dyDescent="0.25">
      <c r="A178" s="439"/>
      <c r="B178" s="427" t="s">
        <v>440</v>
      </c>
      <c r="C178" s="427" t="s">
        <v>362</v>
      </c>
      <c r="D178" s="426"/>
      <c r="E178" s="428" t="s">
        <v>363</v>
      </c>
      <c r="F178" s="429">
        <v>110000</v>
      </c>
      <c r="G178" s="429">
        <v>110000</v>
      </c>
      <c r="H178" s="429">
        <f>[2]Nov!I196</f>
        <v>0</v>
      </c>
      <c r="I178" s="429">
        <f t="shared" ref="I178:I179" si="60">G178+H178</f>
        <v>110000</v>
      </c>
      <c r="J178" s="429">
        <f t="shared" ref="J178:J179" si="61">F178-I178</f>
        <v>0</v>
      </c>
      <c r="K178" s="426"/>
    </row>
    <row r="179" spans="1:11" hidden="1" x14ac:dyDescent="0.25">
      <c r="A179" s="439"/>
      <c r="B179" s="427" t="s">
        <v>440</v>
      </c>
      <c r="C179" s="427" t="s">
        <v>366</v>
      </c>
      <c r="D179" s="426"/>
      <c r="E179" s="428" t="s">
        <v>367</v>
      </c>
      <c r="F179" s="429">
        <v>150000</v>
      </c>
      <c r="G179" s="429">
        <v>150000</v>
      </c>
      <c r="H179" s="429">
        <f>[2]Nov!I197</f>
        <v>0</v>
      </c>
      <c r="I179" s="429">
        <f t="shared" si="60"/>
        <v>150000</v>
      </c>
      <c r="J179" s="429">
        <f t="shared" si="61"/>
        <v>0</v>
      </c>
      <c r="K179" s="426"/>
    </row>
    <row r="180" spans="1:11" hidden="1" x14ac:dyDescent="0.25">
      <c r="A180" s="439"/>
      <c r="B180" s="427"/>
      <c r="C180" s="427"/>
      <c r="D180" s="426"/>
      <c r="E180" s="428"/>
      <c r="F180" s="429"/>
      <c r="G180" s="429"/>
      <c r="H180" s="429"/>
      <c r="I180" s="429"/>
      <c r="J180" s="429"/>
      <c r="K180" s="426"/>
    </row>
    <row r="181" spans="1:11" ht="38.25" x14ac:dyDescent="0.25">
      <c r="A181" s="438"/>
      <c r="B181" s="449" t="s">
        <v>442</v>
      </c>
      <c r="C181" s="438"/>
      <c r="D181" s="418"/>
      <c r="E181" s="484" t="s">
        <v>443</v>
      </c>
      <c r="F181" s="443">
        <f t="shared" ref="F181:J182" si="62">F182</f>
        <v>160000</v>
      </c>
      <c r="G181" s="443">
        <f t="shared" si="62"/>
        <v>0</v>
      </c>
      <c r="H181" s="443">
        <f t="shared" si="62"/>
        <v>160000</v>
      </c>
      <c r="I181" s="443">
        <f t="shared" si="62"/>
        <v>160000</v>
      </c>
      <c r="J181" s="443">
        <f t="shared" si="62"/>
        <v>0</v>
      </c>
      <c r="K181" s="418"/>
    </row>
    <row r="182" spans="1:11" hidden="1" x14ac:dyDescent="0.25">
      <c r="A182" s="438"/>
      <c r="B182" s="419" t="s">
        <v>442</v>
      </c>
      <c r="C182" s="419" t="s">
        <v>359</v>
      </c>
      <c r="D182" s="418"/>
      <c r="E182" s="420" t="s">
        <v>67</v>
      </c>
      <c r="F182" s="421">
        <f t="shared" si="62"/>
        <v>160000</v>
      </c>
      <c r="G182" s="421">
        <f t="shared" si="62"/>
        <v>0</v>
      </c>
      <c r="H182" s="421">
        <f t="shared" si="62"/>
        <v>160000</v>
      </c>
      <c r="I182" s="421">
        <f t="shared" si="62"/>
        <v>160000</v>
      </c>
      <c r="J182" s="421">
        <f t="shared" si="62"/>
        <v>0</v>
      </c>
      <c r="K182" s="418"/>
    </row>
    <row r="183" spans="1:11" hidden="1" x14ac:dyDescent="0.25">
      <c r="A183" s="440"/>
      <c r="B183" s="423" t="s">
        <v>442</v>
      </c>
      <c r="C183" s="423" t="s">
        <v>360</v>
      </c>
      <c r="D183" s="422"/>
      <c r="E183" s="424" t="s">
        <v>361</v>
      </c>
      <c r="F183" s="425">
        <f>SUM(F184:F185)</f>
        <v>160000</v>
      </c>
      <c r="G183" s="425">
        <f>SUM(G184:G185)</f>
        <v>0</v>
      </c>
      <c r="H183" s="425">
        <f>SUM(H184:H185)</f>
        <v>160000</v>
      </c>
      <c r="I183" s="425">
        <f>SUM(I184:I185)</f>
        <v>160000</v>
      </c>
      <c r="J183" s="425">
        <f>SUM(J184:J185)</f>
        <v>0</v>
      </c>
      <c r="K183" s="422"/>
    </row>
    <row r="184" spans="1:11" hidden="1" x14ac:dyDescent="0.25">
      <c r="A184" s="439"/>
      <c r="B184" s="427" t="s">
        <v>442</v>
      </c>
      <c r="C184" s="427" t="s">
        <v>362</v>
      </c>
      <c r="D184" s="426"/>
      <c r="E184" s="428" t="s">
        <v>363</v>
      </c>
      <c r="F184" s="429">
        <v>60000</v>
      </c>
      <c r="G184" s="429">
        <v>0</v>
      </c>
      <c r="H184" s="429">
        <f>[2]Nov!I202</f>
        <v>60000</v>
      </c>
      <c r="I184" s="429">
        <f t="shared" ref="I184:I185" si="63">G184+H184</f>
        <v>60000</v>
      </c>
      <c r="J184" s="429">
        <f t="shared" ref="J184:J185" si="64">F184-I184</f>
        <v>0</v>
      </c>
      <c r="K184" s="426"/>
    </row>
    <row r="185" spans="1:11" hidden="1" x14ac:dyDescent="0.25">
      <c r="A185" s="439"/>
      <c r="B185" s="427" t="s">
        <v>442</v>
      </c>
      <c r="C185" s="427" t="s">
        <v>366</v>
      </c>
      <c r="D185" s="426"/>
      <c r="E185" s="428" t="s">
        <v>367</v>
      </c>
      <c r="F185" s="429">
        <v>100000</v>
      </c>
      <c r="G185" s="429">
        <v>0</v>
      </c>
      <c r="H185" s="429">
        <f>[2]Nov!I203</f>
        <v>100000</v>
      </c>
      <c r="I185" s="429">
        <f t="shared" si="63"/>
        <v>100000</v>
      </c>
      <c r="J185" s="429">
        <f t="shared" si="64"/>
        <v>0</v>
      </c>
      <c r="K185" s="426"/>
    </row>
    <row r="186" spans="1:11" hidden="1" x14ac:dyDescent="0.25">
      <c r="A186" s="439"/>
      <c r="B186" s="427"/>
      <c r="C186" s="427"/>
      <c r="D186" s="426"/>
      <c r="E186" s="428"/>
      <c r="F186" s="429"/>
      <c r="G186" s="429"/>
      <c r="H186" s="429"/>
      <c r="I186" s="429"/>
      <c r="J186" s="429"/>
      <c r="K186" s="426"/>
    </row>
    <row r="187" spans="1:11" x14ac:dyDescent="0.25">
      <c r="A187" s="438"/>
      <c r="B187" s="419" t="s">
        <v>444</v>
      </c>
      <c r="C187" s="438"/>
      <c r="D187" s="418"/>
      <c r="E187" s="420" t="s">
        <v>445</v>
      </c>
      <c r="F187" s="421">
        <f>F188+F191</f>
        <v>24500000</v>
      </c>
      <c r="G187" s="421">
        <f>G188+G191</f>
        <v>22471550</v>
      </c>
      <c r="H187" s="421">
        <f>H188+H191</f>
        <v>1250000</v>
      </c>
      <c r="I187" s="421">
        <f>I188+I191</f>
        <v>23721550</v>
      </c>
      <c r="J187" s="421">
        <f>J188+J191</f>
        <v>778450</v>
      </c>
      <c r="K187" s="418"/>
    </row>
    <row r="188" spans="1:11" hidden="1" x14ac:dyDescent="0.25">
      <c r="A188" s="438"/>
      <c r="B188" s="419" t="s">
        <v>444</v>
      </c>
      <c r="C188" s="419" t="s">
        <v>359</v>
      </c>
      <c r="D188" s="418"/>
      <c r="E188" s="420" t="s">
        <v>67</v>
      </c>
      <c r="F188" s="421">
        <f>F189</f>
        <v>2000000</v>
      </c>
      <c r="G188" s="421">
        <f>G189</f>
        <v>750000</v>
      </c>
      <c r="H188" s="421">
        <f>H189</f>
        <v>1250000</v>
      </c>
      <c r="I188" s="421">
        <f>I189</f>
        <v>2000000</v>
      </c>
      <c r="J188" s="421">
        <f>J189</f>
        <v>0</v>
      </c>
      <c r="K188" s="418"/>
    </row>
    <row r="189" spans="1:11" hidden="1" x14ac:dyDescent="0.25">
      <c r="A189" s="440"/>
      <c r="B189" s="423" t="s">
        <v>444</v>
      </c>
      <c r="C189" s="423" t="s">
        <v>370</v>
      </c>
      <c r="D189" s="422"/>
      <c r="E189" s="424" t="s">
        <v>81</v>
      </c>
      <c r="F189" s="425">
        <f>SUM(F190)</f>
        <v>2000000</v>
      </c>
      <c r="G189" s="425">
        <f>SUM(G190)</f>
        <v>750000</v>
      </c>
      <c r="H189" s="425">
        <f>SUM(H190)</f>
        <v>1250000</v>
      </c>
      <c r="I189" s="425">
        <f>SUM(I190)</f>
        <v>2000000</v>
      </c>
      <c r="J189" s="425">
        <f>SUM(J190)</f>
        <v>0</v>
      </c>
      <c r="K189" s="422"/>
    </row>
    <row r="190" spans="1:11" hidden="1" x14ac:dyDescent="0.25">
      <c r="A190" s="439"/>
      <c r="B190" s="427" t="s">
        <v>444</v>
      </c>
      <c r="C190" s="427" t="s">
        <v>446</v>
      </c>
      <c r="D190" s="426"/>
      <c r="E190" s="428" t="s">
        <v>447</v>
      </c>
      <c r="F190" s="429">
        <v>2000000</v>
      </c>
      <c r="G190" s="429">
        <v>750000</v>
      </c>
      <c r="H190" s="429">
        <f>[2]Nov!I208</f>
        <v>1250000</v>
      </c>
      <c r="I190" s="429">
        <f t="shared" ref="I190" si="65">G190+H190</f>
        <v>2000000</v>
      </c>
      <c r="J190" s="429">
        <f t="shared" ref="J190" si="66">F190-I190</f>
        <v>0</v>
      </c>
      <c r="K190" s="426"/>
    </row>
    <row r="191" spans="1:11" hidden="1" x14ac:dyDescent="0.25">
      <c r="A191" s="438"/>
      <c r="B191" s="419" t="s">
        <v>444</v>
      </c>
      <c r="C191" s="419" t="s">
        <v>404</v>
      </c>
      <c r="D191" s="418"/>
      <c r="E191" s="420" t="s">
        <v>68</v>
      </c>
      <c r="F191" s="421">
        <f>F192</f>
        <v>22500000</v>
      </c>
      <c r="G191" s="421">
        <f>G192</f>
        <v>21721550</v>
      </c>
      <c r="H191" s="421">
        <f>H192</f>
        <v>0</v>
      </c>
      <c r="I191" s="421">
        <f>I192</f>
        <v>21721550</v>
      </c>
      <c r="J191" s="421">
        <f>J192</f>
        <v>778450</v>
      </c>
      <c r="K191" s="418"/>
    </row>
    <row r="192" spans="1:11" hidden="1" x14ac:dyDescent="0.25">
      <c r="A192" s="440"/>
      <c r="B192" s="423" t="s">
        <v>444</v>
      </c>
      <c r="C192" s="423" t="s">
        <v>448</v>
      </c>
      <c r="D192" s="422"/>
      <c r="E192" s="424" t="s">
        <v>89</v>
      </c>
      <c r="F192" s="425">
        <f>SUM(F193)</f>
        <v>22500000</v>
      </c>
      <c r="G192" s="425">
        <f>SUM(G193)</f>
        <v>21721550</v>
      </c>
      <c r="H192" s="425">
        <f>SUM(H193)</f>
        <v>0</v>
      </c>
      <c r="I192" s="425">
        <f>SUM(I193)</f>
        <v>21721550</v>
      </c>
      <c r="J192" s="425">
        <f>SUM(J193)</f>
        <v>778450</v>
      </c>
      <c r="K192" s="422"/>
    </row>
    <row r="193" spans="1:11" hidden="1" x14ac:dyDescent="0.25">
      <c r="A193" s="439"/>
      <c r="B193" s="427" t="s">
        <v>444</v>
      </c>
      <c r="C193" s="427" t="s">
        <v>449</v>
      </c>
      <c r="D193" s="426"/>
      <c r="E193" s="428" t="s">
        <v>450</v>
      </c>
      <c r="F193" s="429">
        <v>22500000</v>
      </c>
      <c r="G193" s="429">
        <f>22500000-778450</f>
        <v>21721550</v>
      </c>
      <c r="H193" s="429">
        <f>[2]Nov!I211</f>
        <v>0</v>
      </c>
      <c r="I193" s="429">
        <f t="shared" ref="I193" si="67">G193+H193</f>
        <v>21721550</v>
      </c>
      <c r="J193" s="429">
        <f t="shared" ref="J193" si="68">F193-I193</f>
        <v>778450</v>
      </c>
      <c r="K193" s="426"/>
    </row>
    <row r="194" spans="1:11" hidden="1" x14ac:dyDescent="0.25">
      <c r="A194" s="439"/>
      <c r="B194" s="427"/>
      <c r="C194" s="427"/>
      <c r="D194" s="426"/>
      <c r="E194" s="428"/>
      <c r="F194" s="429"/>
      <c r="G194" s="429"/>
      <c r="H194" s="429"/>
      <c r="I194" s="429"/>
      <c r="J194" s="429"/>
      <c r="K194" s="426"/>
    </row>
    <row r="195" spans="1:11" x14ac:dyDescent="0.25">
      <c r="A195" s="438"/>
      <c r="B195" s="419" t="s">
        <v>451</v>
      </c>
      <c r="C195" s="438"/>
      <c r="D195" s="418"/>
      <c r="E195" s="420" t="s">
        <v>452</v>
      </c>
      <c r="F195" s="421">
        <f t="shared" ref="F195:J196" si="69">F196</f>
        <v>1955000</v>
      </c>
      <c r="G195" s="421">
        <f t="shared" si="69"/>
        <v>551500</v>
      </c>
      <c r="H195" s="421">
        <f t="shared" si="69"/>
        <v>1403500</v>
      </c>
      <c r="I195" s="421">
        <f t="shared" si="69"/>
        <v>1955000</v>
      </c>
      <c r="J195" s="421">
        <f t="shared" si="69"/>
        <v>0</v>
      </c>
      <c r="K195" s="418"/>
    </row>
    <row r="196" spans="1:11" hidden="1" x14ac:dyDescent="0.25">
      <c r="A196" s="438"/>
      <c r="B196" s="419" t="s">
        <v>451</v>
      </c>
      <c r="C196" s="419" t="s">
        <v>359</v>
      </c>
      <c r="D196" s="418"/>
      <c r="E196" s="420" t="s">
        <v>67</v>
      </c>
      <c r="F196" s="421">
        <f t="shared" si="69"/>
        <v>1955000</v>
      </c>
      <c r="G196" s="421">
        <f t="shared" si="69"/>
        <v>551500</v>
      </c>
      <c r="H196" s="421">
        <f t="shared" si="69"/>
        <v>1403500</v>
      </c>
      <c r="I196" s="421">
        <f t="shared" si="69"/>
        <v>1955000</v>
      </c>
      <c r="J196" s="421">
        <f t="shared" si="69"/>
        <v>0</v>
      </c>
      <c r="K196" s="418"/>
    </row>
    <row r="197" spans="1:11" hidden="1" x14ac:dyDescent="0.25">
      <c r="A197" s="440"/>
      <c r="B197" s="423" t="s">
        <v>451</v>
      </c>
      <c r="C197" s="423" t="s">
        <v>360</v>
      </c>
      <c r="D197" s="422"/>
      <c r="E197" s="424" t="s">
        <v>361</v>
      </c>
      <c r="F197" s="425">
        <f>SUM(F198:F199)</f>
        <v>1955000</v>
      </c>
      <c r="G197" s="425">
        <f>SUM(G198:G199)</f>
        <v>551500</v>
      </c>
      <c r="H197" s="425">
        <f>SUM(H198:H199)</f>
        <v>1403500</v>
      </c>
      <c r="I197" s="425">
        <f>SUM(I198:I199)</f>
        <v>1955000</v>
      </c>
      <c r="J197" s="425">
        <f>SUM(J198:J199)</f>
        <v>0</v>
      </c>
      <c r="K197" s="422"/>
    </row>
    <row r="198" spans="1:11" hidden="1" x14ac:dyDescent="0.25">
      <c r="A198" s="439"/>
      <c r="B198" s="427" t="s">
        <v>451</v>
      </c>
      <c r="C198" s="427" t="s">
        <v>362</v>
      </c>
      <c r="D198" s="426"/>
      <c r="E198" s="428" t="s">
        <v>363</v>
      </c>
      <c r="F198" s="429">
        <v>660000</v>
      </c>
      <c r="G198" s="429">
        <v>180000</v>
      </c>
      <c r="H198" s="429">
        <f>[2]Nov!I216</f>
        <v>480000</v>
      </c>
      <c r="I198" s="429">
        <f t="shared" ref="I198:I199" si="70">G198+H198</f>
        <v>660000</v>
      </c>
      <c r="J198" s="429">
        <f t="shared" ref="J198:J199" si="71">F198-I198</f>
        <v>0</v>
      </c>
      <c r="K198" s="426"/>
    </row>
    <row r="199" spans="1:11" hidden="1" x14ac:dyDescent="0.25">
      <c r="A199" s="439"/>
      <c r="B199" s="427" t="s">
        <v>451</v>
      </c>
      <c r="C199" s="427" t="s">
        <v>366</v>
      </c>
      <c r="D199" s="426"/>
      <c r="E199" s="428" t="s">
        <v>367</v>
      </c>
      <c r="F199" s="429">
        <v>1295000</v>
      </c>
      <c r="G199" s="429">
        <v>371500</v>
      </c>
      <c r="H199" s="429">
        <f>[2]Nov!I217</f>
        <v>923500</v>
      </c>
      <c r="I199" s="429">
        <f t="shared" si="70"/>
        <v>1295000</v>
      </c>
      <c r="J199" s="429">
        <f t="shared" si="71"/>
        <v>0</v>
      </c>
      <c r="K199" s="426"/>
    </row>
    <row r="200" spans="1:11" hidden="1" x14ac:dyDescent="0.25">
      <c r="A200" s="439"/>
      <c r="B200" s="427"/>
      <c r="C200" s="427"/>
      <c r="D200" s="426"/>
      <c r="E200" s="428"/>
      <c r="F200" s="429"/>
      <c r="G200" s="429"/>
      <c r="H200" s="429"/>
      <c r="I200" s="429"/>
      <c r="J200" s="429"/>
      <c r="K200" s="426"/>
    </row>
    <row r="201" spans="1:11" ht="14.25" customHeight="1" x14ac:dyDescent="0.25">
      <c r="A201" s="438"/>
      <c r="B201" s="419" t="s">
        <v>453</v>
      </c>
      <c r="C201" s="438"/>
      <c r="D201" s="418"/>
      <c r="E201" s="420" t="s">
        <v>454</v>
      </c>
      <c r="F201" s="421">
        <f>F202</f>
        <v>485000</v>
      </c>
      <c r="G201" s="421">
        <f>G202</f>
        <v>0</v>
      </c>
      <c r="H201" s="421">
        <f>H202</f>
        <v>485000</v>
      </c>
      <c r="I201" s="421">
        <f>I202</f>
        <v>485000</v>
      </c>
      <c r="J201" s="421">
        <f>J202</f>
        <v>0</v>
      </c>
      <c r="K201" s="418"/>
    </row>
    <row r="202" spans="1:11" hidden="1" x14ac:dyDescent="0.25">
      <c r="A202" s="438"/>
      <c r="B202" s="419" t="s">
        <v>453</v>
      </c>
      <c r="C202" s="419" t="s">
        <v>359</v>
      </c>
      <c r="D202" s="418"/>
      <c r="E202" s="420" t="s">
        <v>67</v>
      </c>
      <c r="F202" s="421">
        <f>F203+F207+F210</f>
        <v>485000</v>
      </c>
      <c r="G202" s="421">
        <f>G203+G207+G210</f>
        <v>0</v>
      </c>
      <c r="H202" s="421">
        <f>H203+H207+H210</f>
        <v>485000</v>
      </c>
      <c r="I202" s="421">
        <f>I203+I207+I210</f>
        <v>485000</v>
      </c>
      <c r="J202" s="421">
        <f>J203+J207+J210</f>
        <v>0</v>
      </c>
      <c r="K202" s="418"/>
    </row>
    <row r="203" spans="1:11" hidden="1" x14ac:dyDescent="0.25">
      <c r="A203" s="440"/>
      <c r="B203" s="423" t="s">
        <v>453</v>
      </c>
      <c r="C203" s="423" t="s">
        <v>360</v>
      </c>
      <c r="D203" s="422"/>
      <c r="E203" s="424" t="s">
        <v>361</v>
      </c>
      <c r="F203" s="425">
        <f>SUM(F204:F206)</f>
        <v>485000</v>
      </c>
      <c r="G203" s="425">
        <f>SUM(G204:G206)</f>
        <v>0</v>
      </c>
      <c r="H203" s="425">
        <f>SUM(H204:H206)</f>
        <v>485000</v>
      </c>
      <c r="I203" s="425">
        <f>SUM(I204:I206)</f>
        <v>485000</v>
      </c>
      <c r="J203" s="425">
        <f>SUM(J204:J206)</f>
        <v>0</v>
      </c>
      <c r="K203" s="422"/>
    </row>
    <row r="204" spans="1:11" hidden="1" x14ac:dyDescent="0.25">
      <c r="A204" s="439"/>
      <c r="B204" s="427" t="s">
        <v>453</v>
      </c>
      <c r="C204" s="427" t="s">
        <v>362</v>
      </c>
      <c r="D204" s="426"/>
      <c r="E204" s="428" t="s">
        <v>363</v>
      </c>
      <c r="F204" s="429">
        <v>185000</v>
      </c>
      <c r="G204" s="429">
        <v>0</v>
      </c>
      <c r="H204" s="429">
        <f>[2]Nov!I224</f>
        <v>185000</v>
      </c>
      <c r="I204" s="429">
        <f t="shared" ref="I204:I206" si="72">G204+H204</f>
        <v>185000</v>
      </c>
      <c r="J204" s="429">
        <f t="shared" ref="J204:J206" si="73">F204-I204</f>
        <v>0</v>
      </c>
      <c r="K204" s="426"/>
    </row>
    <row r="205" spans="1:11" hidden="1" x14ac:dyDescent="0.25">
      <c r="A205" s="439"/>
      <c r="B205" s="427" t="s">
        <v>453</v>
      </c>
      <c r="C205" s="427" t="s">
        <v>366</v>
      </c>
      <c r="D205" s="426"/>
      <c r="E205" s="428" t="s">
        <v>367</v>
      </c>
      <c r="F205" s="429">
        <v>0</v>
      </c>
      <c r="G205" s="429">
        <v>0</v>
      </c>
      <c r="H205" s="429">
        <f>[2]Nov!I225</f>
        <v>0</v>
      </c>
      <c r="I205" s="429">
        <f t="shared" si="72"/>
        <v>0</v>
      </c>
      <c r="J205" s="429">
        <f t="shared" si="73"/>
        <v>0</v>
      </c>
      <c r="K205" s="426"/>
    </row>
    <row r="206" spans="1:11" hidden="1" x14ac:dyDescent="0.25">
      <c r="A206" s="450"/>
      <c r="B206" s="451" t="s">
        <v>453</v>
      </c>
      <c r="C206" s="451" t="s">
        <v>368</v>
      </c>
      <c r="D206" s="452"/>
      <c r="E206" s="453" t="s">
        <v>369</v>
      </c>
      <c r="F206" s="454">
        <v>300000</v>
      </c>
      <c r="G206" s="454">
        <v>0</v>
      </c>
      <c r="H206" s="429">
        <f>[2]Nov!I226</f>
        <v>300000</v>
      </c>
      <c r="I206" s="454">
        <f t="shared" si="72"/>
        <v>300000</v>
      </c>
      <c r="J206" s="454">
        <f t="shared" si="73"/>
        <v>0</v>
      </c>
      <c r="K206" s="452"/>
    </row>
    <row r="207" spans="1:11" hidden="1" x14ac:dyDescent="0.25">
      <c r="A207" s="440"/>
      <c r="B207" s="423" t="s">
        <v>453</v>
      </c>
      <c r="C207" s="423" t="s">
        <v>370</v>
      </c>
      <c r="D207" s="422"/>
      <c r="E207" s="424" t="s">
        <v>81</v>
      </c>
      <c r="F207" s="425">
        <f>SUM(F208:F209)</f>
        <v>0</v>
      </c>
      <c r="G207" s="425">
        <f>SUM(G208:G209)</f>
        <v>0</v>
      </c>
      <c r="H207" s="425">
        <f>SUM(H208:H209)</f>
        <v>0</v>
      </c>
      <c r="I207" s="425">
        <f>SUM(I208:I209)</f>
        <v>0</v>
      </c>
      <c r="J207" s="425">
        <f>SUM(J208:J209)</f>
        <v>0</v>
      </c>
      <c r="K207" s="422"/>
    </row>
    <row r="208" spans="1:11" hidden="1" x14ac:dyDescent="0.25">
      <c r="A208" s="439"/>
      <c r="B208" s="427" t="s">
        <v>453</v>
      </c>
      <c r="C208" s="427" t="s">
        <v>436</v>
      </c>
      <c r="D208" s="426"/>
      <c r="E208" s="428" t="s">
        <v>437</v>
      </c>
      <c r="F208" s="429">
        <v>0</v>
      </c>
      <c r="G208" s="429">
        <v>0</v>
      </c>
      <c r="H208" s="429">
        <f>[2]Nov!I228</f>
        <v>0</v>
      </c>
      <c r="I208" s="429">
        <f t="shared" ref="I208:I209" si="74">G208+H208</f>
        <v>0</v>
      </c>
      <c r="J208" s="429">
        <f t="shared" ref="J208:J209" si="75">F208-I208</f>
        <v>0</v>
      </c>
      <c r="K208" s="426"/>
    </row>
    <row r="209" spans="1:11" hidden="1" x14ac:dyDescent="0.25">
      <c r="A209" s="439"/>
      <c r="B209" s="427" t="s">
        <v>453</v>
      </c>
      <c r="C209" s="427" t="s">
        <v>422</v>
      </c>
      <c r="D209" s="426"/>
      <c r="E209" s="428" t="s">
        <v>423</v>
      </c>
      <c r="F209" s="429">
        <v>0</v>
      </c>
      <c r="G209" s="429">
        <v>0</v>
      </c>
      <c r="H209" s="429">
        <f>[2]Nov!I229</f>
        <v>0</v>
      </c>
      <c r="I209" s="429">
        <f t="shared" si="74"/>
        <v>0</v>
      </c>
      <c r="J209" s="429">
        <f t="shared" si="75"/>
        <v>0</v>
      </c>
      <c r="K209" s="426"/>
    </row>
    <row r="210" spans="1:11" hidden="1" x14ac:dyDescent="0.25">
      <c r="A210" s="440"/>
      <c r="B210" s="423" t="s">
        <v>453</v>
      </c>
      <c r="C210" s="423" t="s">
        <v>455</v>
      </c>
      <c r="D210" s="422"/>
      <c r="E210" s="424" t="s">
        <v>83</v>
      </c>
      <c r="F210" s="425">
        <f>SUM(F211)</f>
        <v>0</v>
      </c>
      <c r="G210" s="425">
        <f>SUM(G211)</f>
        <v>0</v>
      </c>
      <c r="H210" s="425">
        <f>SUM(H211)</f>
        <v>0</v>
      </c>
      <c r="I210" s="425">
        <f>SUM(I211)</f>
        <v>0</v>
      </c>
      <c r="J210" s="425">
        <f>SUM(J211)</f>
        <v>0</v>
      </c>
      <c r="K210" s="422"/>
    </row>
    <row r="211" spans="1:11" hidden="1" x14ac:dyDescent="0.25">
      <c r="A211" s="439"/>
      <c r="B211" s="427" t="s">
        <v>453</v>
      </c>
      <c r="C211" s="427" t="s">
        <v>456</v>
      </c>
      <c r="D211" s="426"/>
      <c r="E211" s="428" t="s">
        <v>457</v>
      </c>
      <c r="F211" s="429">
        <v>0</v>
      </c>
      <c r="G211" s="429">
        <v>0</v>
      </c>
      <c r="H211" s="429">
        <f>[2]Nov!I231</f>
        <v>0</v>
      </c>
      <c r="I211" s="429">
        <f t="shared" ref="I211" si="76">G211+H211</f>
        <v>0</v>
      </c>
      <c r="J211" s="429">
        <f t="shared" ref="J211" si="77">F211-I211</f>
        <v>0</v>
      </c>
      <c r="K211" s="426"/>
    </row>
    <row r="212" spans="1:11" hidden="1" x14ac:dyDescent="0.25">
      <c r="A212" s="439"/>
      <c r="B212" s="427"/>
      <c r="C212" s="427"/>
      <c r="D212" s="426"/>
      <c r="E212" s="428"/>
      <c r="F212" s="429"/>
      <c r="G212" s="429"/>
      <c r="H212" s="429"/>
      <c r="I212" s="429"/>
      <c r="J212" s="429"/>
      <c r="K212" s="426"/>
    </row>
    <row r="213" spans="1:11" x14ac:dyDescent="0.25">
      <c r="A213" s="438"/>
      <c r="B213" s="419" t="s">
        <v>458</v>
      </c>
      <c r="C213" s="438"/>
      <c r="D213" s="418"/>
      <c r="E213" s="420" t="s">
        <v>459</v>
      </c>
      <c r="F213" s="421">
        <f t="shared" ref="F213:J214" si="78">F214</f>
        <v>27636000</v>
      </c>
      <c r="G213" s="421">
        <f t="shared" si="78"/>
        <v>6820000</v>
      </c>
      <c r="H213" s="421">
        <f t="shared" si="78"/>
        <v>20816000</v>
      </c>
      <c r="I213" s="421">
        <f t="shared" si="78"/>
        <v>27636000</v>
      </c>
      <c r="J213" s="421">
        <f t="shared" si="78"/>
        <v>0</v>
      </c>
      <c r="K213" s="418"/>
    </row>
    <row r="214" spans="1:11" hidden="1" x14ac:dyDescent="0.25">
      <c r="A214" s="438"/>
      <c r="B214" s="419" t="s">
        <v>458</v>
      </c>
      <c r="C214" s="419" t="s">
        <v>359</v>
      </c>
      <c r="D214" s="418"/>
      <c r="E214" s="420" t="s">
        <v>67</v>
      </c>
      <c r="F214" s="421">
        <f t="shared" si="78"/>
        <v>27636000</v>
      </c>
      <c r="G214" s="421">
        <f t="shared" si="78"/>
        <v>6820000</v>
      </c>
      <c r="H214" s="421">
        <f t="shared" si="78"/>
        <v>20816000</v>
      </c>
      <c r="I214" s="421">
        <f t="shared" si="78"/>
        <v>27636000</v>
      </c>
      <c r="J214" s="421">
        <f t="shared" si="78"/>
        <v>0</v>
      </c>
      <c r="K214" s="418"/>
    </row>
    <row r="215" spans="1:11" hidden="1" x14ac:dyDescent="0.25">
      <c r="A215" s="440"/>
      <c r="B215" s="423" t="s">
        <v>458</v>
      </c>
      <c r="C215" s="423" t="s">
        <v>460</v>
      </c>
      <c r="D215" s="422"/>
      <c r="E215" s="424" t="s">
        <v>461</v>
      </c>
      <c r="F215" s="425">
        <f>SUM(F216)</f>
        <v>27636000</v>
      </c>
      <c r="G215" s="425">
        <f>SUM(G216)</f>
        <v>6820000</v>
      </c>
      <c r="H215" s="425">
        <f>SUM(H216)</f>
        <v>20816000</v>
      </c>
      <c r="I215" s="425">
        <f>SUM(I216)</f>
        <v>27636000</v>
      </c>
      <c r="J215" s="425">
        <f>SUM(J216)</f>
        <v>0</v>
      </c>
      <c r="K215" s="422"/>
    </row>
    <row r="216" spans="1:11" hidden="1" x14ac:dyDescent="0.25">
      <c r="A216" s="439"/>
      <c r="B216" s="427" t="s">
        <v>458</v>
      </c>
      <c r="C216" s="427" t="s">
        <v>462</v>
      </c>
      <c r="D216" s="426"/>
      <c r="E216" s="428" t="s">
        <v>463</v>
      </c>
      <c r="F216" s="429">
        <v>27636000</v>
      </c>
      <c r="G216" s="429">
        <v>6820000</v>
      </c>
      <c r="H216" s="429">
        <f>[2]Nov!I236</f>
        <v>20816000</v>
      </c>
      <c r="I216" s="429">
        <f t="shared" ref="I216" si="79">G216+H216</f>
        <v>27636000</v>
      </c>
      <c r="J216" s="429">
        <f t="shared" ref="J216" si="80">F216-I216</f>
        <v>0</v>
      </c>
      <c r="K216" s="426"/>
    </row>
    <row r="217" spans="1:11" hidden="1" x14ac:dyDescent="0.25">
      <c r="A217" s="439"/>
      <c r="B217" s="427"/>
      <c r="C217" s="427"/>
      <c r="D217" s="426"/>
      <c r="E217" s="428"/>
      <c r="F217" s="429"/>
      <c r="G217" s="429"/>
      <c r="H217" s="429"/>
      <c r="I217" s="429"/>
      <c r="J217" s="429"/>
      <c r="K217" s="426"/>
    </row>
    <row r="218" spans="1:11" x14ac:dyDescent="0.25">
      <c r="A218" s="438"/>
      <c r="B218" s="419" t="s">
        <v>464</v>
      </c>
      <c r="C218" s="438"/>
      <c r="D218" s="420" t="s">
        <v>98</v>
      </c>
      <c r="E218" s="418"/>
      <c r="F218" s="421">
        <f>F219+F236</f>
        <v>57705000</v>
      </c>
      <c r="G218" s="421">
        <f>G219+G236</f>
        <v>8120000</v>
      </c>
      <c r="H218" s="421">
        <f>H219+H236</f>
        <v>47468074</v>
      </c>
      <c r="I218" s="421">
        <f>I219+I236</f>
        <v>55588074</v>
      </c>
      <c r="J218" s="421">
        <f>J219+J236</f>
        <v>2116926</v>
      </c>
      <c r="K218" s="418"/>
    </row>
    <row r="219" spans="1:11" x14ac:dyDescent="0.25">
      <c r="A219" s="438"/>
      <c r="B219" s="419" t="s">
        <v>465</v>
      </c>
      <c r="C219" s="438"/>
      <c r="D219" s="418"/>
      <c r="E219" s="420" t="s">
        <v>466</v>
      </c>
      <c r="F219" s="421">
        <f>F220</f>
        <v>53775000</v>
      </c>
      <c r="G219" s="421">
        <f>G220</f>
        <v>8120000</v>
      </c>
      <c r="H219" s="421">
        <f>H220</f>
        <v>43655000</v>
      </c>
      <c r="I219" s="421">
        <f>I220</f>
        <v>51775000</v>
      </c>
      <c r="J219" s="421">
        <f>J220</f>
        <v>2000000</v>
      </c>
      <c r="K219" s="418"/>
    </row>
    <row r="220" spans="1:11" ht="1.5" hidden="1" customHeight="1" x14ac:dyDescent="0.25">
      <c r="A220" s="438"/>
      <c r="B220" s="419" t="s">
        <v>465</v>
      </c>
      <c r="C220" s="419" t="s">
        <v>359</v>
      </c>
      <c r="D220" s="418"/>
      <c r="E220" s="420" t="s">
        <v>67</v>
      </c>
      <c r="F220" s="421">
        <f>F221+F225+F228+F230+F233</f>
        <v>53775000</v>
      </c>
      <c r="G220" s="421">
        <f>G221+G225+G228+G230+G233</f>
        <v>8120000</v>
      </c>
      <c r="H220" s="421">
        <f>H221+H225+H228+H230+H233</f>
        <v>43655000</v>
      </c>
      <c r="I220" s="421">
        <f>I221+I225+I228+I230+I233</f>
        <v>51775000</v>
      </c>
      <c r="J220" s="421">
        <f>J221+J225+J228+J230+J233</f>
        <v>2000000</v>
      </c>
      <c r="K220" s="418"/>
    </row>
    <row r="221" spans="1:11" hidden="1" x14ac:dyDescent="0.25">
      <c r="A221" s="440"/>
      <c r="B221" s="423" t="s">
        <v>465</v>
      </c>
      <c r="C221" s="423" t="s">
        <v>360</v>
      </c>
      <c r="D221" s="422"/>
      <c r="E221" s="424" t="s">
        <v>361</v>
      </c>
      <c r="F221" s="425">
        <f>SUM(F222:F224)</f>
        <v>16355000</v>
      </c>
      <c r="G221" s="425">
        <f>SUM(G222:G224)</f>
        <v>4620000</v>
      </c>
      <c r="H221" s="425">
        <f>SUM(H222:H224)</f>
        <v>9735000</v>
      </c>
      <c r="I221" s="425">
        <f>SUM(I222:I224)</f>
        <v>14355000</v>
      </c>
      <c r="J221" s="425">
        <f>SUM(J222:J224)</f>
        <v>2000000</v>
      </c>
      <c r="K221" s="422"/>
    </row>
    <row r="222" spans="1:11" hidden="1" x14ac:dyDescent="0.25">
      <c r="A222" s="439"/>
      <c r="B222" s="427" t="s">
        <v>465</v>
      </c>
      <c r="C222" s="427" t="s">
        <v>362</v>
      </c>
      <c r="D222" s="426"/>
      <c r="E222" s="428" t="s">
        <v>363</v>
      </c>
      <c r="F222" s="429">
        <v>2178000</v>
      </c>
      <c r="G222" s="429">
        <v>0</v>
      </c>
      <c r="H222" s="429">
        <f>[2]Nov!I242</f>
        <v>2178000</v>
      </c>
      <c r="I222" s="429">
        <f t="shared" ref="I222:I224" si="81">G222+H222</f>
        <v>2178000</v>
      </c>
      <c r="J222" s="429">
        <f t="shared" ref="J222:J224" si="82">F222-I222</f>
        <v>0</v>
      </c>
      <c r="K222" s="426"/>
    </row>
    <row r="223" spans="1:11" hidden="1" x14ac:dyDescent="0.25">
      <c r="A223" s="439"/>
      <c r="B223" s="427" t="s">
        <v>465</v>
      </c>
      <c r="C223" s="427" t="s">
        <v>366</v>
      </c>
      <c r="D223" s="426"/>
      <c r="E223" s="428" t="s">
        <v>367</v>
      </c>
      <c r="F223" s="429">
        <v>492000</v>
      </c>
      <c r="G223" s="429">
        <v>0</v>
      </c>
      <c r="H223" s="429">
        <f>[2]Nov!I243</f>
        <v>492000</v>
      </c>
      <c r="I223" s="429">
        <f t="shared" si="81"/>
        <v>492000</v>
      </c>
      <c r="J223" s="429">
        <f t="shared" si="82"/>
        <v>0</v>
      </c>
      <c r="K223" s="426"/>
    </row>
    <row r="224" spans="1:11" hidden="1" x14ac:dyDescent="0.25">
      <c r="A224" s="439"/>
      <c r="B224" s="427" t="s">
        <v>465</v>
      </c>
      <c r="C224" s="427" t="s">
        <v>368</v>
      </c>
      <c r="D224" s="426"/>
      <c r="E224" s="428" t="s">
        <v>369</v>
      </c>
      <c r="F224" s="429">
        <v>13685000</v>
      </c>
      <c r="G224" s="429">
        <f>3060000+1560000</f>
        <v>4620000</v>
      </c>
      <c r="H224" s="429">
        <f>[2]Nov!I244</f>
        <v>7065000</v>
      </c>
      <c r="I224" s="429">
        <f t="shared" si="81"/>
        <v>11685000</v>
      </c>
      <c r="J224" s="429">
        <f t="shared" si="82"/>
        <v>2000000</v>
      </c>
      <c r="K224" s="426"/>
    </row>
    <row r="225" spans="1:11" hidden="1" x14ac:dyDescent="0.25">
      <c r="A225" s="440"/>
      <c r="B225" s="423" t="s">
        <v>465</v>
      </c>
      <c r="C225" s="423" t="s">
        <v>370</v>
      </c>
      <c r="D225" s="422"/>
      <c r="E225" s="424" t="s">
        <v>81</v>
      </c>
      <c r="F225" s="425">
        <f>SUM(F226:F227)</f>
        <v>22530000</v>
      </c>
      <c r="G225" s="425">
        <f>SUM(G226:G227)</f>
        <v>0</v>
      </c>
      <c r="H225" s="425">
        <f>SUM(H226:H227)</f>
        <v>22530000</v>
      </c>
      <c r="I225" s="425">
        <f>SUM(I226:I227)</f>
        <v>22530000</v>
      </c>
      <c r="J225" s="425">
        <f>SUM(J226:J227)</f>
        <v>0</v>
      </c>
      <c r="K225" s="422"/>
    </row>
    <row r="226" spans="1:11" hidden="1" x14ac:dyDescent="0.25">
      <c r="A226" s="439"/>
      <c r="B226" s="427" t="s">
        <v>465</v>
      </c>
      <c r="C226" s="427" t="s">
        <v>436</v>
      </c>
      <c r="D226" s="426"/>
      <c r="E226" s="428" t="s">
        <v>437</v>
      </c>
      <c r="F226" s="429">
        <v>1950000</v>
      </c>
      <c r="G226" s="429">
        <v>0</v>
      </c>
      <c r="H226" s="429">
        <f>[2]Nov!I246</f>
        <v>1950000</v>
      </c>
      <c r="I226" s="429">
        <f t="shared" ref="I226:I227" si="83">G226+H226</f>
        <v>1950000</v>
      </c>
      <c r="J226" s="429">
        <f t="shared" ref="J226:J227" si="84">F226-I226</f>
        <v>0</v>
      </c>
      <c r="K226" s="426"/>
    </row>
    <row r="227" spans="1:11" hidden="1" x14ac:dyDescent="0.25">
      <c r="A227" s="439"/>
      <c r="B227" s="427" t="s">
        <v>465</v>
      </c>
      <c r="C227" s="427" t="s">
        <v>422</v>
      </c>
      <c r="D227" s="426"/>
      <c r="E227" s="428" t="s">
        <v>423</v>
      </c>
      <c r="F227" s="429">
        <v>20580000</v>
      </c>
      <c r="G227" s="429">
        <v>0</v>
      </c>
      <c r="H227" s="429">
        <f>[2]Nov!I247</f>
        <v>20580000</v>
      </c>
      <c r="I227" s="429">
        <f t="shared" si="83"/>
        <v>20580000</v>
      </c>
      <c r="J227" s="429">
        <f t="shared" si="84"/>
        <v>0</v>
      </c>
      <c r="K227" s="426"/>
    </row>
    <row r="228" spans="1:11" hidden="1" x14ac:dyDescent="0.25">
      <c r="A228" s="440"/>
      <c r="B228" s="423" t="s">
        <v>465</v>
      </c>
      <c r="C228" s="423" t="s">
        <v>373</v>
      </c>
      <c r="D228" s="422"/>
      <c r="E228" s="424" t="s">
        <v>145</v>
      </c>
      <c r="F228" s="425">
        <f>SUM(F229)</f>
        <v>800000</v>
      </c>
      <c r="G228" s="425">
        <f>SUM(G229)</f>
        <v>800000</v>
      </c>
      <c r="H228" s="425">
        <f>SUM(H229)</f>
        <v>0</v>
      </c>
      <c r="I228" s="425">
        <f>SUM(I229)</f>
        <v>800000</v>
      </c>
      <c r="J228" s="425">
        <f>SUM(J229)</f>
        <v>0</v>
      </c>
      <c r="K228" s="422"/>
    </row>
    <row r="229" spans="1:11" hidden="1" x14ac:dyDescent="0.25">
      <c r="A229" s="439"/>
      <c r="B229" s="427" t="s">
        <v>465</v>
      </c>
      <c r="C229" s="427" t="s">
        <v>374</v>
      </c>
      <c r="D229" s="426"/>
      <c r="E229" s="428" t="s">
        <v>375</v>
      </c>
      <c r="F229" s="429">
        <v>800000</v>
      </c>
      <c r="G229" s="429">
        <v>800000</v>
      </c>
      <c r="H229" s="429">
        <f>[2]Nov!I249</f>
        <v>0</v>
      </c>
      <c r="I229" s="429">
        <f t="shared" ref="I229" si="85">G229+H229</f>
        <v>800000</v>
      </c>
      <c r="J229" s="429">
        <f t="shared" ref="J229" si="86">F229-I229</f>
        <v>0</v>
      </c>
      <c r="K229" s="426"/>
    </row>
    <row r="230" spans="1:11" hidden="1" x14ac:dyDescent="0.25">
      <c r="A230" s="440"/>
      <c r="B230" s="423" t="s">
        <v>465</v>
      </c>
      <c r="C230" s="423" t="s">
        <v>455</v>
      </c>
      <c r="D230" s="422"/>
      <c r="E230" s="424" t="s">
        <v>83</v>
      </c>
      <c r="F230" s="425">
        <f>SUM(F231:F232)</f>
        <v>4700000</v>
      </c>
      <c r="G230" s="425">
        <f>SUM(G231:G232)</f>
        <v>2700000</v>
      </c>
      <c r="H230" s="425">
        <f>SUM(H231:H232)</f>
        <v>2000000</v>
      </c>
      <c r="I230" s="425">
        <f>SUM(I231:I232)</f>
        <v>4700000</v>
      </c>
      <c r="J230" s="425">
        <f>SUM(J231:J232)</f>
        <v>0</v>
      </c>
      <c r="K230" s="422"/>
    </row>
    <row r="231" spans="1:11" hidden="1" x14ac:dyDescent="0.25">
      <c r="A231" s="439"/>
      <c r="B231" s="427" t="s">
        <v>465</v>
      </c>
      <c r="C231" s="427" t="s">
        <v>456</v>
      </c>
      <c r="D231" s="426"/>
      <c r="E231" s="428" t="s">
        <v>457</v>
      </c>
      <c r="F231" s="429">
        <v>2700000</v>
      </c>
      <c r="G231" s="429">
        <v>2700000</v>
      </c>
      <c r="H231" s="429">
        <f>[2]Nov!I251</f>
        <v>0</v>
      </c>
      <c r="I231" s="429">
        <f t="shared" ref="I231:I232" si="87">G231+H231</f>
        <v>2700000</v>
      </c>
      <c r="J231" s="429">
        <f t="shared" ref="J231:J232" si="88">F231-I231</f>
        <v>0</v>
      </c>
      <c r="K231" s="426"/>
    </row>
    <row r="232" spans="1:11" hidden="1" x14ac:dyDescent="0.25">
      <c r="A232" s="439"/>
      <c r="B232" s="427" t="s">
        <v>465</v>
      </c>
      <c r="C232" s="427" t="s">
        <v>467</v>
      </c>
      <c r="D232" s="426"/>
      <c r="E232" s="428" t="s">
        <v>468</v>
      </c>
      <c r="F232" s="429">
        <v>2000000</v>
      </c>
      <c r="G232" s="429">
        <v>0</v>
      </c>
      <c r="H232" s="429">
        <f>[2]Nov!I252</f>
        <v>2000000</v>
      </c>
      <c r="I232" s="429">
        <f t="shared" si="87"/>
        <v>2000000</v>
      </c>
      <c r="J232" s="429">
        <f t="shared" si="88"/>
        <v>0</v>
      </c>
      <c r="K232" s="426"/>
    </row>
    <row r="233" spans="1:11" hidden="1" x14ac:dyDescent="0.25">
      <c r="A233" s="440"/>
      <c r="B233" s="423" t="s">
        <v>465</v>
      </c>
      <c r="C233" s="423" t="s">
        <v>460</v>
      </c>
      <c r="D233" s="422"/>
      <c r="E233" s="424" t="s">
        <v>461</v>
      </c>
      <c r="F233" s="425">
        <f>SUM(F234)</f>
        <v>9390000</v>
      </c>
      <c r="G233" s="425">
        <f>SUM(G234)</f>
        <v>0</v>
      </c>
      <c r="H233" s="425">
        <f>SUM(H234)</f>
        <v>9390000</v>
      </c>
      <c r="I233" s="425">
        <f>SUM(I234)</f>
        <v>9390000</v>
      </c>
      <c r="J233" s="425">
        <f>SUM(J234)</f>
        <v>0</v>
      </c>
      <c r="K233" s="422"/>
    </row>
    <row r="234" spans="1:11" hidden="1" x14ac:dyDescent="0.25">
      <c r="A234" s="450"/>
      <c r="B234" s="451" t="s">
        <v>465</v>
      </c>
      <c r="C234" s="451" t="s">
        <v>462</v>
      </c>
      <c r="D234" s="452"/>
      <c r="E234" s="453" t="s">
        <v>463</v>
      </c>
      <c r="F234" s="454">
        <v>9390000</v>
      </c>
      <c r="G234" s="454">
        <v>0</v>
      </c>
      <c r="H234" s="429">
        <f>[2]Nov!I254</f>
        <v>9390000</v>
      </c>
      <c r="I234" s="454">
        <f t="shared" ref="I234" si="89">G234+H234</f>
        <v>9390000</v>
      </c>
      <c r="J234" s="454">
        <f t="shared" ref="J234" si="90">F234-I234</f>
        <v>0</v>
      </c>
      <c r="K234" s="452"/>
    </row>
    <row r="235" spans="1:11" hidden="1" x14ac:dyDescent="0.25">
      <c r="A235" s="477"/>
      <c r="B235" s="478"/>
      <c r="C235" s="478"/>
      <c r="D235" s="479"/>
      <c r="E235" s="480"/>
      <c r="F235" s="481"/>
      <c r="G235" s="481"/>
      <c r="H235" s="482"/>
      <c r="I235" s="481"/>
      <c r="J235" s="481"/>
      <c r="K235" s="479"/>
    </row>
    <row r="236" spans="1:11" x14ac:dyDescent="0.25">
      <c r="A236" s="463"/>
      <c r="B236" s="415" t="s">
        <v>469</v>
      </c>
      <c r="C236" s="463"/>
      <c r="D236" s="414"/>
      <c r="E236" s="416" t="s">
        <v>470</v>
      </c>
      <c r="F236" s="448">
        <f>F237</f>
        <v>3930000</v>
      </c>
      <c r="G236" s="448">
        <f>G237</f>
        <v>0</v>
      </c>
      <c r="H236" s="448">
        <f>H237</f>
        <v>3813074</v>
      </c>
      <c r="I236" s="448">
        <f>I237</f>
        <v>3813074</v>
      </c>
      <c r="J236" s="448">
        <f>J237</f>
        <v>116926</v>
      </c>
      <c r="K236" s="414"/>
    </row>
    <row r="237" spans="1:11" hidden="1" x14ac:dyDescent="0.25">
      <c r="A237" s="438"/>
      <c r="B237" s="419" t="s">
        <v>469</v>
      </c>
      <c r="C237" s="419" t="s">
        <v>359</v>
      </c>
      <c r="D237" s="418"/>
      <c r="E237" s="420" t="s">
        <v>67</v>
      </c>
      <c r="F237" s="421">
        <f>F238+F240+F242</f>
        <v>3930000</v>
      </c>
      <c r="G237" s="421">
        <f>G238+G240+G242</f>
        <v>0</v>
      </c>
      <c r="H237" s="421">
        <f>H238+H240+H242</f>
        <v>3813074</v>
      </c>
      <c r="I237" s="421">
        <f>I238+I240+I242</f>
        <v>3813074</v>
      </c>
      <c r="J237" s="421">
        <f>J238+J240+J242</f>
        <v>116926</v>
      </c>
      <c r="K237" s="418"/>
    </row>
    <row r="238" spans="1:11" hidden="1" x14ac:dyDescent="0.25">
      <c r="A238" s="440"/>
      <c r="B238" s="423" t="s">
        <v>469</v>
      </c>
      <c r="C238" s="423" t="s">
        <v>360</v>
      </c>
      <c r="D238" s="422"/>
      <c r="E238" s="424" t="s">
        <v>361</v>
      </c>
      <c r="F238" s="425">
        <f>SUM(F239)</f>
        <v>180000</v>
      </c>
      <c r="G238" s="425">
        <f>SUM(G239)</f>
        <v>0</v>
      </c>
      <c r="H238" s="425">
        <f>SUM(H239)</f>
        <v>180000</v>
      </c>
      <c r="I238" s="425">
        <f>SUM(I239)</f>
        <v>180000</v>
      </c>
      <c r="J238" s="425">
        <f>SUM(J239)</f>
        <v>0</v>
      </c>
      <c r="K238" s="422"/>
    </row>
    <row r="239" spans="1:11" hidden="1" x14ac:dyDescent="0.25">
      <c r="A239" s="439"/>
      <c r="B239" s="427" t="s">
        <v>469</v>
      </c>
      <c r="C239" s="427" t="s">
        <v>368</v>
      </c>
      <c r="D239" s="426"/>
      <c r="E239" s="428" t="s">
        <v>369</v>
      </c>
      <c r="F239" s="429">
        <v>180000</v>
      </c>
      <c r="G239" s="429">
        <v>0</v>
      </c>
      <c r="H239" s="429">
        <f>[2]Nov!I264</f>
        <v>180000</v>
      </c>
      <c r="I239" s="429">
        <f t="shared" ref="I239" si="91">G239+H239</f>
        <v>180000</v>
      </c>
      <c r="J239" s="429">
        <f t="shared" ref="J239" si="92">F239-I239</f>
        <v>0</v>
      </c>
      <c r="K239" s="426"/>
    </row>
    <row r="240" spans="1:11" hidden="1" x14ac:dyDescent="0.25">
      <c r="A240" s="440"/>
      <c r="B240" s="423" t="s">
        <v>469</v>
      </c>
      <c r="C240" s="423" t="s">
        <v>370</v>
      </c>
      <c r="D240" s="422"/>
      <c r="E240" s="424" t="s">
        <v>81</v>
      </c>
      <c r="F240" s="425">
        <f>SUM(F241)</f>
        <v>450000</v>
      </c>
      <c r="G240" s="425">
        <f>SUM(G241)</f>
        <v>0</v>
      </c>
      <c r="H240" s="425">
        <f>SUM(H241)</f>
        <v>450000</v>
      </c>
      <c r="I240" s="425">
        <f>SUM(I241)</f>
        <v>450000</v>
      </c>
      <c r="J240" s="425">
        <f>SUM(J241)</f>
        <v>0</v>
      </c>
      <c r="K240" s="422"/>
    </row>
    <row r="241" spans="1:11" hidden="1" x14ac:dyDescent="0.25">
      <c r="A241" s="439"/>
      <c r="B241" s="427" t="s">
        <v>469</v>
      </c>
      <c r="C241" s="427" t="s">
        <v>436</v>
      </c>
      <c r="D241" s="426"/>
      <c r="E241" s="428" t="s">
        <v>437</v>
      </c>
      <c r="F241" s="429">
        <v>450000</v>
      </c>
      <c r="G241" s="429">
        <v>0</v>
      </c>
      <c r="H241" s="429">
        <f>[2]Nov!I266</f>
        <v>450000</v>
      </c>
      <c r="I241" s="429">
        <f t="shared" ref="I241" si="93">G241+H241</f>
        <v>450000</v>
      </c>
      <c r="J241" s="429">
        <f t="shared" ref="J241" si="94">F241-I241</f>
        <v>0</v>
      </c>
      <c r="K241" s="426"/>
    </row>
    <row r="242" spans="1:11" hidden="1" x14ac:dyDescent="0.25">
      <c r="A242" s="440"/>
      <c r="B242" s="423" t="s">
        <v>469</v>
      </c>
      <c r="C242" s="423" t="s">
        <v>378</v>
      </c>
      <c r="D242" s="422"/>
      <c r="E242" s="424" t="s">
        <v>78</v>
      </c>
      <c r="F242" s="425">
        <f>SUM(F243)</f>
        <v>3300000</v>
      </c>
      <c r="G242" s="425">
        <f>SUM(G243)</f>
        <v>0</v>
      </c>
      <c r="H242" s="425">
        <f>SUM(H243)</f>
        <v>3183074</v>
      </c>
      <c r="I242" s="425">
        <f>SUM(I243)</f>
        <v>3183074</v>
      </c>
      <c r="J242" s="425">
        <f>SUM(J243)</f>
        <v>116926</v>
      </c>
      <c r="K242" s="422"/>
    </row>
    <row r="243" spans="1:11" hidden="1" x14ac:dyDescent="0.25">
      <c r="A243" s="439"/>
      <c r="B243" s="427" t="s">
        <v>469</v>
      </c>
      <c r="C243" s="427" t="s">
        <v>385</v>
      </c>
      <c r="D243" s="426"/>
      <c r="E243" s="428" t="s">
        <v>386</v>
      </c>
      <c r="F243" s="429">
        <v>3300000</v>
      </c>
      <c r="G243" s="429">
        <v>0</v>
      </c>
      <c r="H243" s="429">
        <f>[2]Nov!I268</f>
        <v>3183074</v>
      </c>
      <c r="I243" s="429">
        <f t="shared" ref="I243" si="95">G243+H243</f>
        <v>3183074</v>
      </c>
      <c r="J243" s="429">
        <f t="shared" ref="J243" si="96">F243-I243</f>
        <v>116926</v>
      </c>
      <c r="K243" s="426"/>
    </row>
    <row r="244" spans="1:11" hidden="1" x14ac:dyDescent="0.25">
      <c r="A244" s="439"/>
      <c r="B244" s="427"/>
      <c r="C244" s="427"/>
      <c r="D244" s="426"/>
      <c r="E244" s="428"/>
      <c r="F244" s="429"/>
      <c r="G244" s="429"/>
      <c r="H244" s="429"/>
      <c r="I244" s="429"/>
      <c r="J244" s="429"/>
      <c r="K244" s="426"/>
    </row>
    <row r="245" spans="1:11" x14ac:dyDescent="0.25">
      <c r="A245" s="455"/>
      <c r="B245" s="456">
        <v>2</v>
      </c>
      <c r="C245" s="455"/>
      <c r="D245" s="458" t="s">
        <v>471</v>
      </c>
      <c r="E245" s="457"/>
      <c r="F245" s="459">
        <f>F246+F282+F370+F432+F455</f>
        <v>901315842</v>
      </c>
      <c r="G245" s="459">
        <f>G246+G282+G370+G432+G455</f>
        <v>182567150</v>
      </c>
      <c r="H245" s="459">
        <f>H246+H282+H370+H432+H455</f>
        <v>414747450</v>
      </c>
      <c r="I245" s="459">
        <f>I246+I282+I370+I432+I455</f>
        <v>597314600</v>
      </c>
      <c r="J245" s="459">
        <f>J246+J282+J370+J432+J455</f>
        <v>304001242</v>
      </c>
      <c r="K245" s="457"/>
    </row>
    <row r="246" spans="1:11" x14ac:dyDescent="0.25">
      <c r="A246" s="438"/>
      <c r="B246" s="419" t="s">
        <v>472</v>
      </c>
      <c r="C246" s="438"/>
      <c r="D246" s="420" t="s">
        <v>473</v>
      </c>
      <c r="E246" s="418"/>
      <c r="F246" s="421">
        <f>F247+F259+F269</f>
        <v>105845500</v>
      </c>
      <c r="G246" s="421">
        <f>G247+G259+G269</f>
        <v>52294450</v>
      </c>
      <c r="H246" s="421">
        <f>H247+H259+H269</f>
        <v>35997500</v>
      </c>
      <c r="I246" s="421">
        <f>I247+I259+I269</f>
        <v>88291950</v>
      </c>
      <c r="J246" s="421">
        <f>J247+J259+J269</f>
        <v>17553550</v>
      </c>
      <c r="K246" s="418"/>
    </row>
    <row r="247" spans="1:11" ht="38.25" x14ac:dyDescent="0.25">
      <c r="A247" s="438"/>
      <c r="B247" s="449" t="s">
        <v>474</v>
      </c>
      <c r="C247" s="438"/>
      <c r="D247" s="418"/>
      <c r="E247" s="484" t="s">
        <v>475</v>
      </c>
      <c r="F247" s="443">
        <f>F248</f>
        <v>13358000</v>
      </c>
      <c r="G247" s="443">
        <f>G248</f>
        <v>600000</v>
      </c>
      <c r="H247" s="443">
        <f>H248</f>
        <v>7494000</v>
      </c>
      <c r="I247" s="443">
        <f>I248</f>
        <v>8094000</v>
      </c>
      <c r="J247" s="443">
        <f>J248</f>
        <v>5264000</v>
      </c>
      <c r="K247" s="418"/>
    </row>
    <row r="248" spans="1:11" ht="0.75" customHeight="1" x14ac:dyDescent="0.25">
      <c r="A248" s="438"/>
      <c r="B248" s="419" t="s">
        <v>474</v>
      </c>
      <c r="C248" s="419" t="s">
        <v>359</v>
      </c>
      <c r="D248" s="418"/>
      <c r="E248" s="420" t="s">
        <v>67</v>
      </c>
      <c r="F248" s="421">
        <f>F249+F252+F256</f>
        <v>13358000</v>
      </c>
      <c r="G248" s="421">
        <f>G249+G252+G256</f>
        <v>600000</v>
      </c>
      <c r="H248" s="421">
        <f>H249+H252+H256</f>
        <v>7494000</v>
      </c>
      <c r="I248" s="421">
        <f>I249+I252+I256</f>
        <v>8094000</v>
      </c>
      <c r="J248" s="421">
        <f>J249+J252+J256</f>
        <v>5264000</v>
      </c>
      <c r="K248" s="418"/>
    </row>
    <row r="249" spans="1:11" hidden="1" x14ac:dyDescent="0.25">
      <c r="A249" s="440"/>
      <c r="B249" s="423" t="s">
        <v>474</v>
      </c>
      <c r="C249" s="423" t="s">
        <v>360</v>
      </c>
      <c r="D249" s="422"/>
      <c r="E249" s="424" t="s">
        <v>361</v>
      </c>
      <c r="F249" s="425">
        <f>SUM(F250:F251)</f>
        <v>854000</v>
      </c>
      <c r="G249" s="425">
        <f>SUM(G250:G251)</f>
        <v>0</v>
      </c>
      <c r="H249" s="425">
        <f>SUM(H250:H251)</f>
        <v>0</v>
      </c>
      <c r="I249" s="425">
        <f>SUM(I250:I251)</f>
        <v>0</v>
      </c>
      <c r="J249" s="425">
        <f>SUM(J250:J251)</f>
        <v>854000</v>
      </c>
      <c r="K249" s="422"/>
    </row>
    <row r="250" spans="1:11" hidden="1" x14ac:dyDescent="0.25">
      <c r="A250" s="439"/>
      <c r="B250" s="427" t="s">
        <v>474</v>
      </c>
      <c r="C250" s="427" t="s">
        <v>366</v>
      </c>
      <c r="D250" s="426"/>
      <c r="E250" s="428" t="s">
        <v>367</v>
      </c>
      <c r="F250" s="429">
        <v>54000</v>
      </c>
      <c r="G250" s="429">
        <v>0</v>
      </c>
      <c r="H250" s="429">
        <f>[2]Nov!I275</f>
        <v>0</v>
      </c>
      <c r="I250" s="429">
        <f t="shared" ref="I250:I251" si="97">G250+H250</f>
        <v>0</v>
      </c>
      <c r="J250" s="429">
        <f t="shared" ref="J250:J251" si="98">F250-I250</f>
        <v>54000</v>
      </c>
      <c r="K250" s="426"/>
    </row>
    <row r="251" spans="1:11" hidden="1" x14ac:dyDescent="0.25">
      <c r="A251" s="439"/>
      <c r="B251" s="427" t="s">
        <v>474</v>
      </c>
      <c r="C251" s="427" t="s">
        <v>368</v>
      </c>
      <c r="D251" s="426"/>
      <c r="E251" s="428" t="s">
        <v>369</v>
      </c>
      <c r="F251" s="429">
        <v>800000</v>
      </c>
      <c r="G251" s="429">
        <v>0</v>
      </c>
      <c r="H251" s="429">
        <f>[2]Nov!I276</f>
        <v>0</v>
      </c>
      <c r="I251" s="429">
        <f t="shared" si="97"/>
        <v>0</v>
      </c>
      <c r="J251" s="429">
        <f t="shared" si="98"/>
        <v>800000</v>
      </c>
      <c r="K251" s="426"/>
    </row>
    <row r="252" spans="1:11" hidden="1" x14ac:dyDescent="0.25">
      <c r="A252" s="440"/>
      <c r="B252" s="423" t="s">
        <v>474</v>
      </c>
      <c r="C252" s="423" t="s">
        <v>370</v>
      </c>
      <c r="D252" s="422"/>
      <c r="E252" s="424" t="s">
        <v>81</v>
      </c>
      <c r="F252" s="425">
        <f>SUM(F253:F255)</f>
        <v>10710000</v>
      </c>
      <c r="G252" s="425">
        <f>SUM(G253:G255)</f>
        <v>600000</v>
      </c>
      <c r="H252" s="425">
        <f>SUM(H253:H255)</f>
        <v>5700000</v>
      </c>
      <c r="I252" s="425">
        <f>SUM(I253:I255)</f>
        <v>6300000</v>
      </c>
      <c r="J252" s="425">
        <f>SUM(J253:J255)</f>
        <v>4410000</v>
      </c>
      <c r="K252" s="422"/>
    </row>
    <row r="253" spans="1:11" hidden="1" x14ac:dyDescent="0.25">
      <c r="A253" s="439"/>
      <c r="B253" s="427" t="s">
        <v>474</v>
      </c>
      <c r="C253" s="427" t="s">
        <v>476</v>
      </c>
      <c r="D253" s="426"/>
      <c r="E253" s="428" t="s">
        <v>477</v>
      </c>
      <c r="F253" s="429">
        <v>900000</v>
      </c>
      <c r="G253" s="429">
        <v>0</v>
      </c>
      <c r="H253" s="429">
        <f>[2]Nov!I278</f>
        <v>0</v>
      </c>
      <c r="I253" s="429">
        <f t="shared" ref="I253:I255" si="99">G253+H253</f>
        <v>0</v>
      </c>
      <c r="J253" s="429">
        <f t="shared" ref="J253:J255" si="100">F253-I253</f>
        <v>900000</v>
      </c>
      <c r="K253" s="426"/>
    </row>
    <row r="254" spans="1:11" hidden="1" x14ac:dyDescent="0.25">
      <c r="A254" s="439"/>
      <c r="B254" s="427" t="s">
        <v>474</v>
      </c>
      <c r="C254" s="427" t="s">
        <v>478</v>
      </c>
      <c r="D254" s="426"/>
      <c r="E254" s="428" t="s">
        <v>479</v>
      </c>
      <c r="F254" s="429">
        <v>510000</v>
      </c>
      <c r="G254" s="429">
        <v>0</v>
      </c>
      <c r="H254" s="429">
        <f>[2]Nov!I279</f>
        <v>0</v>
      </c>
      <c r="I254" s="429">
        <f t="shared" si="99"/>
        <v>0</v>
      </c>
      <c r="J254" s="429">
        <f t="shared" si="100"/>
        <v>510000</v>
      </c>
      <c r="K254" s="426"/>
    </row>
    <row r="255" spans="1:11" hidden="1" x14ac:dyDescent="0.25">
      <c r="A255" s="439"/>
      <c r="B255" s="427" t="s">
        <v>474</v>
      </c>
      <c r="C255" s="427" t="s">
        <v>398</v>
      </c>
      <c r="D255" s="426"/>
      <c r="E255" s="428" t="s">
        <v>399</v>
      </c>
      <c r="F255" s="429">
        <v>9300000</v>
      </c>
      <c r="G255" s="429">
        <v>600000</v>
      </c>
      <c r="H255" s="429">
        <f>[2]Nov!I280</f>
        <v>5700000</v>
      </c>
      <c r="I255" s="429">
        <f t="shared" si="99"/>
        <v>6300000</v>
      </c>
      <c r="J255" s="429">
        <f t="shared" si="100"/>
        <v>3000000</v>
      </c>
      <c r="K255" s="426"/>
    </row>
    <row r="256" spans="1:11" hidden="1" x14ac:dyDescent="0.25">
      <c r="A256" s="440"/>
      <c r="B256" s="423" t="s">
        <v>474</v>
      </c>
      <c r="C256" s="423" t="s">
        <v>460</v>
      </c>
      <c r="D256" s="422"/>
      <c r="E256" s="424" t="s">
        <v>461</v>
      </c>
      <c r="F256" s="425">
        <f>SUM(F257)</f>
        <v>1794000</v>
      </c>
      <c r="G256" s="425">
        <f>SUM(G257)</f>
        <v>0</v>
      </c>
      <c r="H256" s="425">
        <f>SUM(H257)</f>
        <v>1794000</v>
      </c>
      <c r="I256" s="425">
        <f>SUM(I257)</f>
        <v>1794000</v>
      </c>
      <c r="J256" s="425">
        <f>SUM(J257)</f>
        <v>0</v>
      </c>
      <c r="K256" s="422"/>
    </row>
    <row r="257" spans="1:11" hidden="1" x14ac:dyDescent="0.25">
      <c r="A257" s="439"/>
      <c r="B257" s="427" t="s">
        <v>474</v>
      </c>
      <c r="C257" s="427" t="s">
        <v>462</v>
      </c>
      <c r="D257" s="426"/>
      <c r="E257" s="428" t="s">
        <v>463</v>
      </c>
      <c r="F257" s="429">
        <v>1794000</v>
      </c>
      <c r="G257" s="429">
        <v>0</v>
      </c>
      <c r="H257" s="429">
        <f>[2]Nov!I282</f>
        <v>1794000</v>
      </c>
      <c r="I257" s="429">
        <f t="shared" ref="I257" si="101">G257+H257</f>
        <v>1794000</v>
      </c>
      <c r="J257" s="429">
        <f t="shared" ref="J257" si="102">F257-I257</f>
        <v>0</v>
      </c>
      <c r="K257" s="426"/>
    </row>
    <row r="258" spans="1:11" hidden="1" x14ac:dyDescent="0.25">
      <c r="A258" s="439"/>
      <c r="B258" s="427"/>
      <c r="C258" s="427"/>
      <c r="D258" s="426"/>
      <c r="E258" s="428"/>
      <c r="F258" s="429"/>
      <c r="G258" s="429"/>
      <c r="H258" s="429"/>
      <c r="I258" s="429"/>
      <c r="J258" s="429"/>
      <c r="K258" s="426"/>
    </row>
    <row r="259" spans="1:11" ht="38.25" x14ac:dyDescent="0.25">
      <c r="A259" s="438"/>
      <c r="B259" s="449" t="s">
        <v>480</v>
      </c>
      <c r="C259" s="438"/>
      <c r="D259" s="418"/>
      <c r="E259" s="484" t="s">
        <v>481</v>
      </c>
      <c r="F259" s="443">
        <f>F260</f>
        <v>3120000</v>
      </c>
      <c r="G259" s="443">
        <f>G260</f>
        <v>2862500</v>
      </c>
      <c r="H259" s="443">
        <f>H260</f>
        <v>227500</v>
      </c>
      <c r="I259" s="443">
        <f>I260</f>
        <v>3090000</v>
      </c>
      <c r="J259" s="443">
        <f>J260</f>
        <v>30000</v>
      </c>
      <c r="K259" s="418"/>
    </row>
    <row r="260" spans="1:11" hidden="1" x14ac:dyDescent="0.25">
      <c r="A260" s="438"/>
      <c r="B260" s="419" t="s">
        <v>480</v>
      </c>
      <c r="C260" s="419" t="s">
        <v>359</v>
      </c>
      <c r="D260" s="418"/>
      <c r="E260" s="420" t="s">
        <v>67</v>
      </c>
      <c r="F260" s="421">
        <f>F261+F264+F266</f>
        <v>3120000</v>
      </c>
      <c r="G260" s="421">
        <f>G261+G264+G266</f>
        <v>2862500</v>
      </c>
      <c r="H260" s="421">
        <f>H261+H264+H266</f>
        <v>227500</v>
      </c>
      <c r="I260" s="421">
        <f>I261+I264+I266</f>
        <v>3090000</v>
      </c>
      <c r="J260" s="421">
        <f>J261+J264+J266</f>
        <v>30000</v>
      </c>
      <c r="K260" s="418"/>
    </row>
    <row r="261" spans="1:11" hidden="1" x14ac:dyDescent="0.25">
      <c r="A261" s="440"/>
      <c r="B261" s="423" t="s">
        <v>480</v>
      </c>
      <c r="C261" s="423" t="s">
        <v>360</v>
      </c>
      <c r="D261" s="422"/>
      <c r="E261" s="424" t="s">
        <v>361</v>
      </c>
      <c r="F261" s="425">
        <f>SUM(F262:F263)</f>
        <v>300000</v>
      </c>
      <c r="G261" s="425">
        <f>SUM(G262:G263)</f>
        <v>300000</v>
      </c>
      <c r="H261" s="425">
        <f>SUM(H262:H263)</f>
        <v>0</v>
      </c>
      <c r="I261" s="425">
        <f>SUM(I262:I263)</f>
        <v>300000</v>
      </c>
      <c r="J261" s="425">
        <f>SUM(J262:J263)</f>
        <v>0</v>
      </c>
      <c r="K261" s="422"/>
    </row>
    <row r="262" spans="1:11" hidden="1" x14ac:dyDescent="0.25">
      <c r="A262" s="439"/>
      <c r="B262" s="427" t="s">
        <v>480</v>
      </c>
      <c r="C262" s="427" t="s">
        <v>362</v>
      </c>
      <c r="D262" s="426"/>
      <c r="E262" s="428" t="s">
        <v>363</v>
      </c>
      <c r="F262" s="429">
        <v>100000</v>
      </c>
      <c r="G262" s="429">
        <v>100000</v>
      </c>
      <c r="H262" s="429">
        <f>[2]Nov!I287</f>
        <v>0</v>
      </c>
      <c r="I262" s="429">
        <f t="shared" ref="I262:I263" si="103">G262+H262</f>
        <v>100000</v>
      </c>
      <c r="J262" s="429">
        <f t="shared" ref="J262:J263" si="104">F262-I262</f>
        <v>0</v>
      </c>
      <c r="K262" s="426"/>
    </row>
    <row r="263" spans="1:11" hidden="1" x14ac:dyDescent="0.25">
      <c r="A263" s="439"/>
      <c r="B263" s="427" t="s">
        <v>480</v>
      </c>
      <c r="C263" s="427" t="s">
        <v>482</v>
      </c>
      <c r="D263" s="426"/>
      <c r="E263" s="428" t="s">
        <v>367</v>
      </c>
      <c r="F263" s="429">
        <v>200000</v>
      </c>
      <c r="G263" s="429">
        <v>200000</v>
      </c>
      <c r="H263" s="429">
        <f>[2]Nov!I288</f>
        <v>0</v>
      </c>
      <c r="I263" s="429">
        <f t="shared" si="103"/>
        <v>200000</v>
      </c>
      <c r="J263" s="429">
        <f t="shared" si="104"/>
        <v>0</v>
      </c>
      <c r="K263" s="426"/>
    </row>
    <row r="264" spans="1:11" hidden="1" x14ac:dyDescent="0.25">
      <c r="A264" s="440"/>
      <c r="B264" s="423" t="s">
        <v>480</v>
      </c>
      <c r="C264" s="423" t="s">
        <v>370</v>
      </c>
      <c r="D264" s="422"/>
      <c r="E264" s="424" t="s">
        <v>81</v>
      </c>
      <c r="F264" s="425">
        <f>SUM(F265)</f>
        <v>2400000</v>
      </c>
      <c r="G264" s="425">
        <f>SUM(G265)</f>
        <v>2400000</v>
      </c>
      <c r="H264" s="425">
        <f>SUM(H265)</f>
        <v>0</v>
      </c>
      <c r="I264" s="425">
        <f>SUM(I265)</f>
        <v>2400000</v>
      </c>
      <c r="J264" s="425">
        <f>SUM(J265)</f>
        <v>0</v>
      </c>
      <c r="K264" s="422"/>
    </row>
    <row r="265" spans="1:11" hidden="1" x14ac:dyDescent="0.25">
      <c r="A265" s="439"/>
      <c r="B265" s="427" t="s">
        <v>480</v>
      </c>
      <c r="C265" s="427" t="s">
        <v>422</v>
      </c>
      <c r="D265" s="426"/>
      <c r="E265" s="428" t="s">
        <v>423</v>
      </c>
      <c r="F265" s="429">
        <v>2400000</v>
      </c>
      <c r="G265" s="429">
        <v>2400000</v>
      </c>
      <c r="H265" s="429">
        <f>[2]Nov!I290</f>
        <v>0</v>
      </c>
      <c r="I265" s="429">
        <f t="shared" ref="I265" si="105">G265+H265</f>
        <v>2400000</v>
      </c>
      <c r="J265" s="429">
        <f t="shared" ref="J265" si="106">F265-I265</f>
        <v>0</v>
      </c>
      <c r="K265" s="426"/>
    </row>
    <row r="266" spans="1:11" hidden="1" x14ac:dyDescent="0.25">
      <c r="A266" s="440"/>
      <c r="B266" s="423" t="s">
        <v>480</v>
      </c>
      <c r="C266" s="423" t="s">
        <v>378</v>
      </c>
      <c r="D266" s="422"/>
      <c r="E266" s="424" t="s">
        <v>78</v>
      </c>
      <c r="F266" s="425">
        <f>SUM(F267)</f>
        <v>420000</v>
      </c>
      <c r="G266" s="425">
        <f>SUM(G267)</f>
        <v>162500</v>
      </c>
      <c r="H266" s="425">
        <f>SUM(H267)</f>
        <v>227500</v>
      </c>
      <c r="I266" s="425">
        <f>SUM(I267)</f>
        <v>390000</v>
      </c>
      <c r="J266" s="425">
        <f>SUM(J267)</f>
        <v>30000</v>
      </c>
      <c r="K266" s="422"/>
    </row>
    <row r="267" spans="1:11" hidden="1" x14ac:dyDescent="0.25">
      <c r="A267" s="450"/>
      <c r="B267" s="451" t="s">
        <v>480</v>
      </c>
      <c r="C267" s="451" t="s">
        <v>483</v>
      </c>
      <c r="D267" s="452"/>
      <c r="E267" s="453" t="s">
        <v>484</v>
      </c>
      <c r="F267" s="454">
        <v>420000</v>
      </c>
      <c r="G267" s="454">
        <v>162500</v>
      </c>
      <c r="H267" s="429">
        <f>[2]Nov!I292</f>
        <v>227500</v>
      </c>
      <c r="I267" s="454">
        <f t="shared" ref="I267" si="107">G267+H267</f>
        <v>390000</v>
      </c>
      <c r="J267" s="454">
        <f t="shared" ref="J267" si="108">F267-I267</f>
        <v>30000</v>
      </c>
      <c r="K267" s="452"/>
    </row>
    <row r="268" spans="1:11" hidden="1" x14ac:dyDescent="0.25">
      <c r="A268" s="450"/>
      <c r="B268" s="451"/>
      <c r="C268" s="451"/>
      <c r="D268" s="452"/>
      <c r="E268" s="453"/>
      <c r="F268" s="454"/>
      <c r="G268" s="454"/>
      <c r="H268" s="429"/>
      <c r="I268" s="454"/>
      <c r="J268" s="454"/>
      <c r="K268" s="452"/>
    </row>
    <row r="269" spans="1:11" x14ac:dyDescent="0.25">
      <c r="A269" s="438"/>
      <c r="B269" s="419" t="s">
        <v>485</v>
      </c>
      <c r="C269" s="438"/>
      <c r="D269" s="418"/>
      <c r="E269" s="420" t="s">
        <v>486</v>
      </c>
      <c r="F269" s="421">
        <f>F270+F276</f>
        <v>89367500</v>
      </c>
      <c r="G269" s="421">
        <f>G270+G276</f>
        <v>48831950</v>
      </c>
      <c r="H269" s="421">
        <f>H270+H276</f>
        <v>28276000</v>
      </c>
      <c r="I269" s="421">
        <f>I270+I276</f>
        <v>77107950</v>
      </c>
      <c r="J269" s="421">
        <f>J270+J276</f>
        <v>12259550</v>
      </c>
      <c r="K269" s="418"/>
    </row>
    <row r="270" spans="1:11" hidden="1" x14ac:dyDescent="0.25">
      <c r="A270" s="438"/>
      <c r="B270" s="419" t="s">
        <v>485</v>
      </c>
      <c r="C270" s="419" t="s">
        <v>359</v>
      </c>
      <c r="D270" s="418"/>
      <c r="E270" s="420" t="s">
        <v>67</v>
      </c>
      <c r="F270" s="421">
        <f>F271</f>
        <v>730000</v>
      </c>
      <c r="G270" s="421">
        <f>G271</f>
        <v>0</v>
      </c>
      <c r="H270" s="421">
        <f>H271</f>
        <v>730000</v>
      </c>
      <c r="I270" s="421">
        <f>I271</f>
        <v>730000</v>
      </c>
      <c r="J270" s="421">
        <f>J271</f>
        <v>0</v>
      </c>
      <c r="K270" s="418"/>
    </row>
    <row r="271" spans="1:11" hidden="1" x14ac:dyDescent="0.25">
      <c r="A271" s="440"/>
      <c r="B271" s="423" t="s">
        <v>485</v>
      </c>
      <c r="C271" s="423" t="s">
        <v>360</v>
      </c>
      <c r="D271" s="422"/>
      <c r="E271" s="424" t="s">
        <v>361</v>
      </c>
      <c r="F271" s="425">
        <f>SUM(F272:F275)</f>
        <v>730000</v>
      </c>
      <c r="G271" s="425">
        <f>SUM(G272:G275)</f>
        <v>0</v>
      </c>
      <c r="H271" s="425">
        <f>SUM(H272:H275)</f>
        <v>730000</v>
      </c>
      <c r="I271" s="425">
        <f>SUM(I272:I275)</f>
        <v>730000</v>
      </c>
      <c r="J271" s="425">
        <f>SUM(J272:J275)</f>
        <v>0</v>
      </c>
      <c r="K271" s="422"/>
    </row>
    <row r="272" spans="1:11" hidden="1" x14ac:dyDescent="0.25">
      <c r="A272" s="439"/>
      <c r="B272" s="427" t="s">
        <v>485</v>
      </c>
      <c r="C272" s="427" t="s">
        <v>362</v>
      </c>
      <c r="D272" s="426"/>
      <c r="E272" s="428" t="s">
        <v>363</v>
      </c>
      <c r="F272" s="429">
        <v>100000</v>
      </c>
      <c r="G272" s="429">
        <v>0</v>
      </c>
      <c r="H272" s="429">
        <f>[2]Nov!I302</f>
        <v>100000</v>
      </c>
      <c r="I272" s="429">
        <f t="shared" ref="I272:I275" si="109">G272+H272</f>
        <v>100000</v>
      </c>
      <c r="J272" s="429">
        <f t="shared" ref="J272:J275" si="110">F272-I272</f>
        <v>0</v>
      </c>
      <c r="K272" s="426"/>
    </row>
    <row r="273" spans="1:11" hidden="1" x14ac:dyDescent="0.25">
      <c r="A273" s="439"/>
      <c r="B273" s="427" t="s">
        <v>485</v>
      </c>
      <c r="C273" s="427" t="s">
        <v>366</v>
      </c>
      <c r="D273" s="426"/>
      <c r="E273" s="428" t="s">
        <v>367</v>
      </c>
      <c r="F273" s="429">
        <v>100000</v>
      </c>
      <c r="G273" s="429">
        <v>0</v>
      </c>
      <c r="H273" s="429">
        <f>[2]Nov!I303</f>
        <v>100000</v>
      </c>
      <c r="I273" s="429">
        <f t="shared" si="109"/>
        <v>100000</v>
      </c>
      <c r="J273" s="429">
        <f t="shared" si="110"/>
        <v>0</v>
      </c>
      <c r="K273" s="426"/>
    </row>
    <row r="274" spans="1:11" hidden="1" x14ac:dyDescent="0.25">
      <c r="A274" s="439"/>
      <c r="B274" s="427" t="s">
        <v>485</v>
      </c>
      <c r="C274" s="427" t="s">
        <v>368</v>
      </c>
      <c r="D274" s="426"/>
      <c r="E274" s="428" t="s">
        <v>369</v>
      </c>
      <c r="F274" s="429">
        <v>180000</v>
      </c>
      <c r="G274" s="429">
        <v>0</v>
      </c>
      <c r="H274" s="429">
        <f>[2]Nov!I304</f>
        <v>180000</v>
      </c>
      <c r="I274" s="429">
        <f t="shared" si="109"/>
        <v>180000</v>
      </c>
      <c r="J274" s="429">
        <f t="shared" si="110"/>
        <v>0</v>
      </c>
      <c r="K274" s="426"/>
    </row>
    <row r="275" spans="1:11" hidden="1" x14ac:dyDescent="0.25">
      <c r="A275" s="439"/>
      <c r="B275" s="427" t="s">
        <v>485</v>
      </c>
      <c r="C275" s="427" t="s">
        <v>487</v>
      </c>
      <c r="D275" s="426"/>
      <c r="E275" s="428" t="s">
        <v>488</v>
      </c>
      <c r="F275" s="429">
        <v>350000</v>
      </c>
      <c r="G275" s="429">
        <v>0</v>
      </c>
      <c r="H275" s="429">
        <f>[2]Nov!I305</f>
        <v>350000</v>
      </c>
      <c r="I275" s="429">
        <f t="shared" si="109"/>
        <v>350000</v>
      </c>
      <c r="J275" s="429">
        <f t="shared" si="110"/>
        <v>0</v>
      </c>
      <c r="K275" s="426"/>
    </row>
    <row r="276" spans="1:11" hidden="1" x14ac:dyDescent="0.25">
      <c r="A276" s="438"/>
      <c r="B276" s="419" t="s">
        <v>485</v>
      </c>
      <c r="C276" s="419" t="s">
        <v>404</v>
      </c>
      <c r="D276" s="418"/>
      <c r="E276" s="420" t="s">
        <v>68</v>
      </c>
      <c r="F276" s="421">
        <f>F277</f>
        <v>88637500</v>
      </c>
      <c r="G276" s="421">
        <f>G277</f>
        <v>48831950</v>
      </c>
      <c r="H276" s="421">
        <f>H277</f>
        <v>27546000</v>
      </c>
      <c r="I276" s="421">
        <f>I277</f>
        <v>76377950</v>
      </c>
      <c r="J276" s="421">
        <f>J277</f>
        <v>12259550</v>
      </c>
      <c r="K276" s="418"/>
    </row>
    <row r="277" spans="1:11" hidden="1" x14ac:dyDescent="0.25">
      <c r="A277" s="440"/>
      <c r="B277" s="423" t="s">
        <v>485</v>
      </c>
      <c r="C277" s="423" t="s">
        <v>489</v>
      </c>
      <c r="D277" s="422"/>
      <c r="E277" s="424" t="s">
        <v>490</v>
      </c>
      <c r="F277" s="425">
        <f>SUM(F278:F280)</f>
        <v>88637500</v>
      </c>
      <c r="G277" s="425">
        <f>SUM(G278:G280)</f>
        <v>48831950</v>
      </c>
      <c r="H277" s="425">
        <f>SUM(H278:H280)</f>
        <v>27546000</v>
      </c>
      <c r="I277" s="425">
        <f>SUM(I278:I280)</f>
        <v>76377950</v>
      </c>
      <c r="J277" s="425">
        <f>SUM(J278:J280)</f>
        <v>12259550</v>
      </c>
      <c r="K277" s="422"/>
    </row>
    <row r="278" spans="1:11" hidden="1" x14ac:dyDescent="0.25">
      <c r="A278" s="439"/>
      <c r="B278" s="427" t="s">
        <v>485</v>
      </c>
      <c r="C278" s="427" t="s">
        <v>491</v>
      </c>
      <c r="D278" s="426"/>
      <c r="E278" s="428" t="s">
        <v>492</v>
      </c>
      <c r="F278" s="429">
        <v>3250000</v>
      </c>
      <c r="G278" s="429">
        <v>3250000</v>
      </c>
      <c r="H278" s="429">
        <f>[2]Nov!I308</f>
        <v>0</v>
      </c>
      <c r="I278" s="429">
        <f t="shared" ref="I278:I280" si="111">G278+H278</f>
        <v>3250000</v>
      </c>
      <c r="J278" s="429">
        <f t="shared" ref="J278:J280" si="112">F278-I278</f>
        <v>0</v>
      </c>
      <c r="K278" s="426"/>
    </row>
    <row r="279" spans="1:11" hidden="1" x14ac:dyDescent="0.25">
      <c r="A279" s="439"/>
      <c r="B279" s="427" t="s">
        <v>485</v>
      </c>
      <c r="C279" s="427" t="s">
        <v>493</v>
      </c>
      <c r="D279" s="426"/>
      <c r="E279" s="428" t="s">
        <v>494</v>
      </c>
      <c r="F279" s="429">
        <v>27546000</v>
      </c>
      <c r="G279" s="429">
        <v>0</v>
      </c>
      <c r="H279" s="429">
        <f>[2]Nov!I309</f>
        <v>27546000</v>
      </c>
      <c r="I279" s="429">
        <f t="shared" si="111"/>
        <v>27546000</v>
      </c>
      <c r="J279" s="429">
        <f t="shared" si="112"/>
        <v>0</v>
      </c>
      <c r="K279" s="426"/>
    </row>
    <row r="280" spans="1:11" hidden="1" x14ac:dyDescent="0.25">
      <c r="A280" s="450"/>
      <c r="B280" s="451" t="s">
        <v>485</v>
      </c>
      <c r="C280" s="451" t="s">
        <v>495</v>
      </c>
      <c r="D280" s="452"/>
      <c r="E280" s="453" t="s">
        <v>496</v>
      </c>
      <c r="F280" s="454">
        <v>57841500</v>
      </c>
      <c r="G280" s="429">
        <f>45551950+30000</f>
        <v>45581950</v>
      </c>
      <c r="H280" s="429">
        <f>[2]Nov!I310</f>
        <v>0</v>
      </c>
      <c r="I280" s="454">
        <f t="shared" si="111"/>
        <v>45581950</v>
      </c>
      <c r="J280" s="454">
        <f t="shared" si="112"/>
        <v>12259550</v>
      </c>
      <c r="K280" s="452"/>
    </row>
    <row r="281" spans="1:11" hidden="1" x14ac:dyDescent="0.25">
      <c r="A281" s="439"/>
      <c r="B281" s="427"/>
      <c r="C281" s="427"/>
      <c r="D281" s="426"/>
      <c r="E281" s="428"/>
      <c r="F281" s="429"/>
      <c r="G281" s="429"/>
      <c r="H281" s="429"/>
      <c r="I281" s="429"/>
      <c r="J281" s="429"/>
      <c r="K281" s="426"/>
    </row>
    <row r="282" spans="1:11" x14ac:dyDescent="0.25">
      <c r="A282" s="455"/>
      <c r="B282" s="456" t="s">
        <v>497</v>
      </c>
      <c r="C282" s="455"/>
      <c r="D282" s="458" t="s">
        <v>498</v>
      </c>
      <c r="E282" s="457"/>
      <c r="F282" s="459">
        <f>F283+F296+F305+F318+F326+F331+F340+F347+F352+F361</f>
        <v>85768400</v>
      </c>
      <c r="G282" s="459">
        <f>G283+G296+G305+G318+G326+G331+G340+G347+G352+G361</f>
        <v>8792500</v>
      </c>
      <c r="H282" s="459">
        <f>H283+H296+H305+H318+H326+H331+H340+H347+H352+H361</f>
        <v>72799250</v>
      </c>
      <c r="I282" s="459">
        <f>I283+I296+I305+I318+I326+I331+I340+I347+I352+I361</f>
        <v>81591750</v>
      </c>
      <c r="J282" s="459">
        <f>J283+J296+J305+J318+J326+J331+J340+J347+J352+J361</f>
        <v>4176650</v>
      </c>
      <c r="K282" s="457"/>
    </row>
    <row r="283" spans="1:11" x14ac:dyDescent="0.25">
      <c r="A283" s="438"/>
      <c r="B283" s="419" t="s">
        <v>499</v>
      </c>
      <c r="C283" s="438"/>
      <c r="D283" s="418"/>
      <c r="E283" s="420" t="s">
        <v>500</v>
      </c>
      <c r="F283" s="421">
        <f>F284</f>
        <v>29047400</v>
      </c>
      <c r="G283" s="421">
        <f>G284</f>
        <v>2762500</v>
      </c>
      <c r="H283" s="421">
        <f>H284</f>
        <v>25161000</v>
      </c>
      <c r="I283" s="421">
        <f>I284</f>
        <v>27923500</v>
      </c>
      <c r="J283" s="421">
        <f>J284</f>
        <v>1123900</v>
      </c>
      <c r="K283" s="418"/>
    </row>
    <row r="284" spans="1:11" hidden="1" x14ac:dyDescent="0.25">
      <c r="A284" s="438"/>
      <c r="B284" s="419" t="s">
        <v>499</v>
      </c>
      <c r="C284" s="419" t="s">
        <v>359</v>
      </c>
      <c r="D284" s="418"/>
      <c r="E284" s="420" t="s">
        <v>67</v>
      </c>
      <c r="F284" s="421">
        <f>F285+F289+F293</f>
        <v>29047400</v>
      </c>
      <c r="G284" s="421">
        <f>G285+G289+G293</f>
        <v>2762500</v>
      </c>
      <c r="H284" s="421">
        <f>H285+H289+H293</f>
        <v>25161000</v>
      </c>
      <c r="I284" s="421">
        <f>I285+I289+I293</f>
        <v>27923500</v>
      </c>
      <c r="J284" s="421">
        <f>J285+J289+J293</f>
        <v>1123900</v>
      </c>
      <c r="K284" s="418"/>
    </row>
    <row r="285" spans="1:11" hidden="1" x14ac:dyDescent="0.25">
      <c r="A285" s="440"/>
      <c r="B285" s="423" t="s">
        <v>499</v>
      </c>
      <c r="C285" s="423" t="s">
        <v>360</v>
      </c>
      <c r="D285" s="422"/>
      <c r="E285" s="424" t="s">
        <v>361</v>
      </c>
      <c r="F285" s="425">
        <f>SUM(F286:F288)</f>
        <v>5977400</v>
      </c>
      <c r="G285" s="425">
        <f>SUM(G286:G288)</f>
        <v>975000</v>
      </c>
      <c r="H285" s="425">
        <f>SUM(H286:H288)</f>
        <v>3978500</v>
      </c>
      <c r="I285" s="425">
        <f>SUM(I286:I288)</f>
        <v>4953500</v>
      </c>
      <c r="J285" s="425">
        <f>SUM(J286:J288)</f>
        <v>1023900</v>
      </c>
      <c r="K285" s="422"/>
    </row>
    <row r="286" spans="1:11" hidden="1" x14ac:dyDescent="0.25">
      <c r="A286" s="439"/>
      <c r="B286" s="427" t="s">
        <v>499</v>
      </c>
      <c r="C286" s="427" t="s">
        <v>362</v>
      </c>
      <c r="D286" s="426"/>
      <c r="E286" s="428" t="s">
        <v>363</v>
      </c>
      <c r="F286" s="429">
        <v>100000</v>
      </c>
      <c r="G286" s="429">
        <v>0</v>
      </c>
      <c r="H286" s="429">
        <f>[2]Nov!I316</f>
        <v>100000</v>
      </c>
      <c r="I286" s="429">
        <f t="shared" ref="I286:I288" si="113">G286+H286</f>
        <v>100000</v>
      </c>
      <c r="J286" s="429">
        <f t="shared" ref="J286:J288" si="114">F286-I286</f>
        <v>0</v>
      </c>
      <c r="K286" s="426"/>
    </row>
    <row r="287" spans="1:11" hidden="1" x14ac:dyDescent="0.25">
      <c r="A287" s="439"/>
      <c r="B287" s="427" t="s">
        <v>499</v>
      </c>
      <c r="C287" s="427" t="s">
        <v>366</v>
      </c>
      <c r="D287" s="426"/>
      <c r="E287" s="428" t="s">
        <v>367</v>
      </c>
      <c r="F287" s="429">
        <v>114900</v>
      </c>
      <c r="G287" s="429">
        <v>0</v>
      </c>
      <c r="H287" s="429">
        <f>[2]Nov!I317</f>
        <v>114750</v>
      </c>
      <c r="I287" s="429">
        <f t="shared" si="113"/>
        <v>114750</v>
      </c>
      <c r="J287" s="429">
        <f t="shared" si="114"/>
        <v>150</v>
      </c>
      <c r="K287" s="426"/>
    </row>
    <row r="288" spans="1:11" hidden="1" x14ac:dyDescent="0.25">
      <c r="A288" s="439"/>
      <c r="B288" s="427" t="s">
        <v>499</v>
      </c>
      <c r="C288" s="427" t="s">
        <v>368</v>
      </c>
      <c r="D288" s="426"/>
      <c r="E288" s="428" t="s">
        <v>369</v>
      </c>
      <c r="F288" s="429">
        <v>5762500</v>
      </c>
      <c r="G288" s="429">
        <v>975000</v>
      </c>
      <c r="H288" s="429">
        <f>[2]Nov!I318</f>
        <v>3763750</v>
      </c>
      <c r="I288" s="429">
        <f t="shared" si="113"/>
        <v>4738750</v>
      </c>
      <c r="J288" s="429">
        <f t="shared" si="114"/>
        <v>1023750</v>
      </c>
      <c r="K288" s="426"/>
    </row>
    <row r="289" spans="1:11" hidden="1" x14ac:dyDescent="0.25">
      <c r="A289" s="440"/>
      <c r="B289" s="423" t="s">
        <v>499</v>
      </c>
      <c r="C289" s="423" t="s">
        <v>370</v>
      </c>
      <c r="D289" s="422"/>
      <c r="E289" s="424" t="s">
        <v>81</v>
      </c>
      <c r="F289" s="425">
        <f>SUM(F290:F292)</f>
        <v>22170000</v>
      </c>
      <c r="G289" s="425">
        <f>SUM(G290:G292)</f>
        <v>1787500</v>
      </c>
      <c r="H289" s="425">
        <f>SUM(H290:H292)</f>
        <v>20382500</v>
      </c>
      <c r="I289" s="425">
        <f>SUM(I290:I292)</f>
        <v>22170000</v>
      </c>
      <c r="J289" s="425">
        <f>SUM(J290:J292)</f>
        <v>0</v>
      </c>
      <c r="K289" s="422"/>
    </row>
    <row r="290" spans="1:11" hidden="1" x14ac:dyDescent="0.25">
      <c r="A290" s="439"/>
      <c r="B290" s="427" t="s">
        <v>499</v>
      </c>
      <c r="C290" s="427" t="s">
        <v>476</v>
      </c>
      <c r="D290" s="426"/>
      <c r="E290" s="428" t="s">
        <v>477</v>
      </c>
      <c r="F290" s="429">
        <v>450000</v>
      </c>
      <c r="G290" s="429">
        <v>0</v>
      </c>
      <c r="H290" s="429">
        <f>[2]Nov!I320</f>
        <v>450000</v>
      </c>
      <c r="I290" s="429">
        <f t="shared" ref="I290:I292" si="115">G290+H290</f>
        <v>450000</v>
      </c>
      <c r="J290" s="429">
        <f t="shared" ref="J290:J292" si="116">F290-I290</f>
        <v>0</v>
      </c>
      <c r="K290" s="426"/>
    </row>
    <row r="291" spans="1:11" hidden="1" x14ac:dyDescent="0.25">
      <c r="A291" s="439"/>
      <c r="B291" s="427" t="s">
        <v>499</v>
      </c>
      <c r="C291" s="427" t="s">
        <v>478</v>
      </c>
      <c r="D291" s="426"/>
      <c r="E291" s="428" t="s">
        <v>479</v>
      </c>
      <c r="F291" s="429">
        <v>270000</v>
      </c>
      <c r="G291" s="429">
        <v>0</v>
      </c>
      <c r="H291" s="429">
        <f>[2]Nov!I321</f>
        <v>270000</v>
      </c>
      <c r="I291" s="429">
        <f t="shared" si="115"/>
        <v>270000</v>
      </c>
      <c r="J291" s="429">
        <f t="shared" si="116"/>
        <v>0</v>
      </c>
      <c r="K291" s="426"/>
    </row>
    <row r="292" spans="1:11" hidden="1" x14ac:dyDescent="0.25">
      <c r="A292" s="439"/>
      <c r="B292" s="427" t="s">
        <v>499</v>
      </c>
      <c r="C292" s="427" t="s">
        <v>398</v>
      </c>
      <c r="D292" s="426"/>
      <c r="E292" s="428" t="s">
        <v>399</v>
      </c>
      <c r="F292" s="429">
        <v>21450000</v>
      </c>
      <c r="G292" s="429">
        <v>1787500</v>
      </c>
      <c r="H292" s="429">
        <f>[2]Nov!I322</f>
        <v>19662500</v>
      </c>
      <c r="I292" s="429">
        <f t="shared" si="115"/>
        <v>21450000</v>
      </c>
      <c r="J292" s="429">
        <f t="shared" si="116"/>
        <v>0</v>
      </c>
      <c r="K292" s="426"/>
    </row>
    <row r="293" spans="1:11" hidden="1" x14ac:dyDescent="0.25">
      <c r="A293" s="440"/>
      <c r="B293" s="423" t="s">
        <v>499</v>
      </c>
      <c r="C293" s="423" t="s">
        <v>460</v>
      </c>
      <c r="D293" s="422"/>
      <c r="E293" s="424" t="s">
        <v>461</v>
      </c>
      <c r="F293" s="425">
        <f>SUM(F294)</f>
        <v>900000</v>
      </c>
      <c r="G293" s="425">
        <f>SUM(G294)</f>
        <v>0</v>
      </c>
      <c r="H293" s="425">
        <f>SUM(H294)</f>
        <v>800000</v>
      </c>
      <c r="I293" s="425">
        <f>SUM(I294)</f>
        <v>800000</v>
      </c>
      <c r="J293" s="425">
        <f>SUM(J294)</f>
        <v>100000</v>
      </c>
      <c r="K293" s="422"/>
    </row>
    <row r="294" spans="1:11" hidden="1" x14ac:dyDescent="0.25">
      <c r="A294" s="439"/>
      <c r="B294" s="427" t="s">
        <v>499</v>
      </c>
      <c r="C294" s="427" t="s">
        <v>462</v>
      </c>
      <c r="D294" s="426"/>
      <c r="E294" s="428" t="s">
        <v>463</v>
      </c>
      <c r="F294" s="429">
        <v>900000</v>
      </c>
      <c r="G294" s="429">
        <v>0</v>
      </c>
      <c r="H294" s="429">
        <f>[2]Nov!I324</f>
        <v>800000</v>
      </c>
      <c r="I294" s="429">
        <f t="shared" ref="I294" si="117">G294+H294</f>
        <v>800000</v>
      </c>
      <c r="J294" s="429">
        <f t="shared" ref="J294" si="118">F294-I294</f>
        <v>100000</v>
      </c>
      <c r="K294" s="426"/>
    </row>
    <row r="295" spans="1:11" hidden="1" x14ac:dyDescent="0.25">
      <c r="A295" s="439"/>
      <c r="B295" s="427"/>
      <c r="C295" s="427"/>
      <c r="D295" s="426"/>
      <c r="E295" s="428"/>
      <c r="F295" s="429"/>
      <c r="G295" s="429"/>
      <c r="H295" s="429"/>
      <c r="I295" s="429"/>
      <c r="J295" s="429"/>
      <c r="K295" s="426"/>
    </row>
    <row r="296" spans="1:11" ht="38.25" x14ac:dyDescent="0.25">
      <c r="A296" s="438"/>
      <c r="B296" s="449" t="s">
        <v>501</v>
      </c>
      <c r="C296" s="438"/>
      <c r="D296" s="418"/>
      <c r="E296" s="484" t="s">
        <v>502</v>
      </c>
      <c r="F296" s="443">
        <f>F297</f>
        <v>2835000</v>
      </c>
      <c r="G296" s="443">
        <f>G297</f>
        <v>0</v>
      </c>
      <c r="H296" s="443">
        <f>H297</f>
        <v>2835000</v>
      </c>
      <c r="I296" s="443">
        <f>I297</f>
        <v>2835000</v>
      </c>
      <c r="J296" s="443">
        <f>J297</f>
        <v>0</v>
      </c>
      <c r="K296" s="418"/>
    </row>
    <row r="297" spans="1:11" hidden="1" x14ac:dyDescent="0.25">
      <c r="A297" s="438"/>
      <c r="B297" s="419" t="s">
        <v>501</v>
      </c>
      <c r="C297" s="419" t="s">
        <v>359</v>
      </c>
      <c r="D297" s="418"/>
      <c r="E297" s="420" t="s">
        <v>67</v>
      </c>
      <c r="F297" s="421">
        <f>F298+F301</f>
        <v>2835000</v>
      </c>
      <c r="G297" s="421">
        <f>G298+G301</f>
        <v>0</v>
      </c>
      <c r="H297" s="421">
        <f>H298+H301</f>
        <v>2835000</v>
      </c>
      <c r="I297" s="421">
        <f>I298+I301</f>
        <v>2835000</v>
      </c>
      <c r="J297" s="421">
        <f>J298+J301</f>
        <v>0</v>
      </c>
      <c r="K297" s="418"/>
    </row>
    <row r="298" spans="1:11" hidden="1" x14ac:dyDescent="0.25">
      <c r="A298" s="440"/>
      <c r="B298" s="423" t="s">
        <v>501</v>
      </c>
      <c r="C298" s="423" t="s">
        <v>360</v>
      </c>
      <c r="D298" s="422"/>
      <c r="E298" s="424" t="s">
        <v>361</v>
      </c>
      <c r="F298" s="425">
        <f>SUM(F299:F300)</f>
        <v>1410000</v>
      </c>
      <c r="G298" s="425">
        <f>SUM(G299:G300)</f>
        <v>0</v>
      </c>
      <c r="H298" s="425">
        <f>SUM(H299:H300)</f>
        <v>1410000</v>
      </c>
      <c r="I298" s="425">
        <f>SUM(I299:I300)</f>
        <v>1410000</v>
      </c>
      <c r="J298" s="425">
        <f>SUM(J299:J300)</f>
        <v>0</v>
      </c>
      <c r="K298" s="422"/>
    </row>
    <row r="299" spans="1:11" hidden="1" x14ac:dyDescent="0.25">
      <c r="A299" s="439"/>
      <c r="B299" s="427" t="s">
        <v>501</v>
      </c>
      <c r="C299" s="427" t="s">
        <v>366</v>
      </c>
      <c r="D299" s="426"/>
      <c r="E299" s="428" t="s">
        <v>367</v>
      </c>
      <c r="F299" s="429">
        <v>50000</v>
      </c>
      <c r="G299" s="429">
        <v>0</v>
      </c>
      <c r="H299" s="429">
        <f>[2]Nov!I329</f>
        <v>50000</v>
      </c>
      <c r="I299" s="429">
        <f t="shared" ref="I299:I300" si="119">G299+H299</f>
        <v>50000</v>
      </c>
      <c r="J299" s="429">
        <f t="shared" ref="J299:J300" si="120">F299-I299</f>
        <v>0</v>
      </c>
      <c r="K299" s="426"/>
    </row>
    <row r="300" spans="1:11" hidden="1" x14ac:dyDescent="0.25">
      <c r="A300" s="439"/>
      <c r="B300" s="427" t="s">
        <v>501</v>
      </c>
      <c r="C300" s="427" t="s">
        <v>368</v>
      </c>
      <c r="D300" s="426"/>
      <c r="E300" s="428" t="s">
        <v>369</v>
      </c>
      <c r="F300" s="429">
        <v>1360000</v>
      </c>
      <c r="G300" s="429">
        <v>0</v>
      </c>
      <c r="H300" s="429">
        <f>[2]Nov!I330</f>
        <v>1360000</v>
      </c>
      <c r="I300" s="429">
        <f t="shared" si="119"/>
        <v>1360000</v>
      </c>
      <c r="J300" s="429">
        <f t="shared" si="120"/>
        <v>0</v>
      </c>
      <c r="K300" s="426"/>
    </row>
    <row r="301" spans="1:11" hidden="1" x14ac:dyDescent="0.25">
      <c r="A301" s="440"/>
      <c r="B301" s="423" t="s">
        <v>501</v>
      </c>
      <c r="C301" s="423" t="s">
        <v>370</v>
      </c>
      <c r="D301" s="422"/>
      <c r="E301" s="424" t="s">
        <v>81</v>
      </c>
      <c r="F301" s="425">
        <f>SUM(F302:F303)</f>
        <v>1425000</v>
      </c>
      <c r="G301" s="425">
        <f>SUM(G302:G303)</f>
        <v>0</v>
      </c>
      <c r="H301" s="425">
        <f>SUM(H302:H303)</f>
        <v>1425000</v>
      </c>
      <c r="I301" s="425">
        <f>SUM(I302:I303)</f>
        <v>1425000</v>
      </c>
      <c r="J301" s="425">
        <f>SUM(J302:J303)</f>
        <v>0</v>
      </c>
      <c r="K301" s="422"/>
    </row>
    <row r="302" spans="1:11" hidden="1" x14ac:dyDescent="0.25">
      <c r="A302" s="439"/>
      <c r="B302" s="427" t="s">
        <v>501</v>
      </c>
      <c r="C302" s="427" t="s">
        <v>476</v>
      </c>
      <c r="D302" s="426"/>
      <c r="E302" s="428" t="s">
        <v>477</v>
      </c>
      <c r="F302" s="429">
        <v>450000</v>
      </c>
      <c r="G302" s="429">
        <v>0</v>
      </c>
      <c r="H302" s="429">
        <f>[2]Nov!I332</f>
        <v>450000</v>
      </c>
      <c r="I302" s="429">
        <f t="shared" ref="I302:I303" si="121">G302+H302</f>
        <v>450000</v>
      </c>
      <c r="J302" s="429">
        <f t="shared" ref="J302:J303" si="122">F302-I302</f>
        <v>0</v>
      </c>
      <c r="K302" s="426"/>
    </row>
    <row r="303" spans="1:11" hidden="1" x14ac:dyDescent="0.25">
      <c r="A303" s="450"/>
      <c r="B303" s="451" t="s">
        <v>501</v>
      </c>
      <c r="C303" s="451" t="s">
        <v>478</v>
      </c>
      <c r="D303" s="452"/>
      <c r="E303" s="453" t="s">
        <v>479</v>
      </c>
      <c r="F303" s="454">
        <v>975000</v>
      </c>
      <c r="G303" s="454">
        <v>0</v>
      </c>
      <c r="H303" s="429">
        <f>[2]Nov!I333</f>
        <v>975000</v>
      </c>
      <c r="I303" s="454">
        <f t="shared" si="121"/>
        <v>975000</v>
      </c>
      <c r="J303" s="454">
        <f t="shared" si="122"/>
        <v>0</v>
      </c>
      <c r="K303" s="452"/>
    </row>
    <row r="304" spans="1:11" hidden="1" x14ac:dyDescent="0.25">
      <c r="A304" s="450"/>
      <c r="B304" s="451"/>
      <c r="C304" s="451"/>
      <c r="D304" s="452"/>
      <c r="E304" s="453"/>
      <c r="F304" s="454"/>
      <c r="G304" s="454"/>
      <c r="H304" s="429"/>
      <c r="I304" s="454"/>
      <c r="J304" s="454"/>
      <c r="K304" s="452"/>
    </row>
    <row r="305" spans="1:11" x14ac:dyDescent="0.25">
      <c r="A305" s="438"/>
      <c r="B305" s="419" t="s">
        <v>503</v>
      </c>
      <c r="C305" s="438"/>
      <c r="D305" s="418"/>
      <c r="E305" s="420" t="s">
        <v>504</v>
      </c>
      <c r="F305" s="421">
        <f>F306+F314</f>
        <v>18526500</v>
      </c>
      <c r="G305" s="421">
        <f>G306+G314</f>
        <v>2131500</v>
      </c>
      <c r="H305" s="421">
        <f>H306+H314</f>
        <v>13974500</v>
      </c>
      <c r="I305" s="421">
        <f>I306+I314</f>
        <v>16106000</v>
      </c>
      <c r="J305" s="421">
        <f>J306+J314</f>
        <v>2420500</v>
      </c>
      <c r="K305" s="418"/>
    </row>
    <row r="306" spans="1:11" hidden="1" x14ac:dyDescent="0.25">
      <c r="A306" s="438"/>
      <c r="B306" s="419" t="s">
        <v>503</v>
      </c>
      <c r="C306" s="419" t="s">
        <v>359</v>
      </c>
      <c r="D306" s="418"/>
      <c r="E306" s="420" t="s">
        <v>67</v>
      </c>
      <c r="F306" s="421">
        <f>F307+F311</f>
        <v>9676500</v>
      </c>
      <c r="G306" s="421">
        <f>G307+G311</f>
        <v>2131500</v>
      </c>
      <c r="H306" s="421">
        <f>H307+H311</f>
        <v>5124500</v>
      </c>
      <c r="I306" s="421">
        <f>I307+I311</f>
        <v>7256000</v>
      </c>
      <c r="J306" s="421">
        <f>J307+J311</f>
        <v>2420500</v>
      </c>
      <c r="K306" s="418"/>
    </row>
    <row r="307" spans="1:11" hidden="1" x14ac:dyDescent="0.25">
      <c r="A307" s="440"/>
      <c r="B307" s="423" t="s">
        <v>503</v>
      </c>
      <c r="C307" s="423" t="s">
        <v>360</v>
      </c>
      <c r="D307" s="422"/>
      <c r="E307" s="424" t="s">
        <v>361</v>
      </c>
      <c r="F307" s="425">
        <f>SUM(F308:F310)</f>
        <v>8026500</v>
      </c>
      <c r="G307" s="425">
        <f>SUM(G308:G310)</f>
        <v>1331500</v>
      </c>
      <c r="H307" s="425">
        <f>SUM(H308:H310)</f>
        <v>4724500</v>
      </c>
      <c r="I307" s="425">
        <f>SUM(I308:I310)</f>
        <v>6056000</v>
      </c>
      <c r="J307" s="425">
        <f>SUM(J308:J310)</f>
        <v>1970500</v>
      </c>
      <c r="K307" s="422"/>
    </row>
    <row r="308" spans="1:11" hidden="1" x14ac:dyDescent="0.25">
      <c r="A308" s="439"/>
      <c r="B308" s="427" t="s">
        <v>503</v>
      </c>
      <c r="C308" s="427" t="s">
        <v>362</v>
      </c>
      <c r="D308" s="426"/>
      <c r="E308" s="428" t="s">
        <v>363</v>
      </c>
      <c r="F308" s="429">
        <v>300000</v>
      </c>
      <c r="G308" s="429">
        <v>0</v>
      </c>
      <c r="H308" s="429">
        <f>[2]Nov!I341</f>
        <v>300000</v>
      </c>
      <c r="I308" s="429">
        <f t="shared" ref="I308:I310" si="123">G308+H308</f>
        <v>300000</v>
      </c>
      <c r="J308" s="429">
        <f t="shared" ref="J308:J310" si="124">F308-I308</f>
        <v>0</v>
      </c>
      <c r="K308" s="426"/>
    </row>
    <row r="309" spans="1:11" hidden="1" x14ac:dyDescent="0.25">
      <c r="A309" s="439"/>
      <c r="B309" s="427" t="s">
        <v>503</v>
      </c>
      <c r="C309" s="427" t="s">
        <v>366</v>
      </c>
      <c r="D309" s="426"/>
      <c r="E309" s="428" t="s">
        <v>367</v>
      </c>
      <c r="F309" s="429">
        <v>531500</v>
      </c>
      <c r="G309" s="429">
        <v>311500</v>
      </c>
      <c r="H309" s="429">
        <f>[2]Nov!I342</f>
        <v>220000</v>
      </c>
      <c r="I309" s="429">
        <f t="shared" si="123"/>
        <v>531500</v>
      </c>
      <c r="J309" s="429">
        <f t="shared" si="124"/>
        <v>0</v>
      </c>
      <c r="K309" s="426"/>
    </row>
    <row r="310" spans="1:11" hidden="1" x14ac:dyDescent="0.25">
      <c r="A310" s="439"/>
      <c r="B310" s="427" t="s">
        <v>503</v>
      </c>
      <c r="C310" s="427" t="s">
        <v>368</v>
      </c>
      <c r="D310" s="426"/>
      <c r="E310" s="428" t="s">
        <v>369</v>
      </c>
      <c r="F310" s="429">
        <v>7195000</v>
      </c>
      <c r="G310" s="429">
        <f>330000+690000</f>
        <v>1020000</v>
      </c>
      <c r="H310" s="429">
        <f>[2]Nov!I343</f>
        <v>4204500</v>
      </c>
      <c r="I310" s="429">
        <f t="shared" si="123"/>
        <v>5224500</v>
      </c>
      <c r="J310" s="429">
        <f t="shared" si="124"/>
        <v>1970500</v>
      </c>
      <c r="K310" s="426"/>
    </row>
    <row r="311" spans="1:11" hidden="1" x14ac:dyDescent="0.25">
      <c r="A311" s="440"/>
      <c r="B311" s="423" t="s">
        <v>503</v>
      </c>
      <c r="C311" s="423" t="s">
        <v>370</v>
      </c>
      <c r="D311" s="422"/>
      <c r="E311" s="424" t="s">
        <v>81</v>
      </c>
      <c r="F311" s="425">
        <f>SUM(F312:F313)</f>
        <v>1650000</v>
      </c>
      <c r="G311" s="425">
        <f>SUM(G312:G313)</f>
        <v>800000</v>
      </c>
      <c r="H311" s="425">
        <f>SUM(H312:H313)</f>
        <v>400000</v>
      </c>
      <c r="I311" s="425">
        <f>SUM(I312:I313)</f>
        <v>1200000</v>
      </c>
      <c r="J311" s="425">
        <f>SUM(J312:J313)</f>
        <v>450000</v>
      </c>
      <c r="K311" s="422"/>
    </row>
    <row r="312" spans="1:11" hidden="1" x14ac:dyDescent="0.25">
      <c r="A312" s="439"/>
      <c r="B312" s="427" t="s">
        <v>503</v>
      </c>
      <c r="C312" s="427" t="s">
        <v>476</v>
      </c>
      <c r="D312" s="426"/>
      <c r="E312" s="428" t="s">
        <v>477</v>
      </c>
      <c r="F312" s="429">
        <v>450000</v>
      </c>
      <c r="G312" s="429">
        <v>0</v>
      </c>
      <c r="H312" s="429">
        <f>[2]Nov!I345</f>
        <v>0</v>
      </c>
      <c r="I312" s="429">
        <f t="shared" ref="I312:I313" si="125">G312+H312</f>
        <v>0</v>
      </c>
      <c r="J312" s="429">
        <f t="shared" ref="J312:J313" si="126">F312-I312</f>
        <v>450000</v>
      </c>
      <c r="K312" s="426"/>
    </row>
    <row r="313" spans="1:11" hidden="1" x14ac:dyDescent="0.25">
      <c r="A313" s="439"/>
      <c r="B313" s="427" t="s">
        <v>503</v>
      </c>
      <c r="C313" s="427" t="s">
        <v>398</v>
      </c>
      <c r="D313" s="426"/>
      <c r="E313" s="428" t="s">
        <v>399</v>
      </c>
      <c r="F313" s="429">
        <v>1200000</v>
      </c>
      <c r="G313" s="429">
        <v>800000</v>
      </c>
      <c r="H313" s="429">
        <f>[2]Nov!I346</f>
        <v>400000</v>
      </c>
      <c r="I313" s="429">
        <f t="shared" si="125"/>
        <v>1200000</v>
      </c>
      <c r="J313" s="429">
        <f t="shared" si="126"/>
        <v>0</v>
      </c>
      <c r="K313" s="426"/>
    </row>
    <row r="314" spans="1:11" hidden="1" x14ac:dyDescent="0.25">
      <c r="A314" s="438"/>
      <c r="B314" s="419" t="s">
        <v>503</v>
      </c>
      <c r="C314" s="419" t="s">
        <v>404</v>
      </c>
      <c r="D314" s="418"/>
      <c r="E314" s="420" t="s">
        <v>68</v>
      </c>
      <c r="F314" s="421">
        <f>F315</f>
        <v>8850000</v>
      </c>
      <c r="G314" s="421">
        <f t="shared" ref="G314:J314" si="127">G315</f>
        <v>0</v>
      </c>
      <c r="H314" s="421">
        <f t="shared" si="127"/>
        <v>8850000</v>
      </c>
      <c r="I314" s="421">
        <f t="shared" si="127"/>
        <v>8850000</v>
      </c>
      <c r="J314" s="421">
        <f t="shared" si="127"/>
        <v>0</v>
      </c>
      <c r="K314" s="421"/>
    </row>
    <row r="315" spans="1:11" hidden="1" x14ac:dyDescent="0.25">
      <c r="A315" s="440"/>
      <c r="B315" s="423" t="s">
        <v>503</v>
      </c>
      <c r="C315" s="423" t="s">
        <v>405</v>
      </c>
      <c r="D315" s="422"/>
      <c r="E315" s="424" t="s">
        <v>505</v>
      </c>
      <c r="F315" s="425">
        <f>SUM(F316:F316)</f>
        <v>8850000</v>
      </c>
      <c r="G315" s="425">
        <f t="shared" ref="G315:J315" si="128">SUM(G316:G316)</f>
        <v>0</v>
      </c>
      <c r="H315" s="425">
        <f t="shared" si="128"/>
        <v>8850000</v>
      </c>
      <c r="I315" s="425">
        <f t="shared" si="128"/>
        <v>8850000</v>
      </c>
      <c r="J315" s="425">
        <f t="shared" si="128"/>
        <v>0</v>
      </c>
      <c r="K315" s="425"/>
    </row>
    <row r="316" spans="1:11" hidden="1" x14ac:dyDescent="0.25">
      <c r="A316" s="439"/>
      <c r="B316" s="427" t="s">
        <v>503</v>
      </c>
      <c r="C316" s="427" t="s">
        <v>407</v>
      </c>
      <c r="D316" s="426"/>
      <c r="E316" s="428" t="s">
        <v>506</v>
      </c>
      <c r="F316" s="429">
        <v>8850000</v>
      </c>
      <c r="G316" s="429">
        <v>0</v>
      </c>
      <c r="H316" s="429">
        <f>[2]Nov!I349</f>
        <v>8850000</v>
      </c>
      <c r="I316" s="429">
        <f t="shared" ref="I316" si="129">G316+H316</f>
        <v>8850000</v>
      </c>
      <c r="J316" s="429">
        <f t="shared" ref="J316" si="130">F316-I316</f>
        <v>0</v>
      </c>
      <c r="K316" s="426"/>
    </row>
    <row r="317" spans="1:11" hidden="1" x14ac:dyDescent="0.25">
      <c r="A317" s="439"/>
      <c r="B317" s="427"/>
      <c r="C317" s="427"/>
      <c r="D317" s="426"/>
      <c r="E317" s="428"/>
      <c r="F317" s="429"/>
      <c r="G317" s="429"/>
      <c r="H317" s="429"/>
      <c r="I317" s="429"/>
      <c r="J317" s="429"/>
      <c r="K317" s="426"/>
    </row>
    <row r="318" spans="1:11" x14ac:dyDescent="0.25">
      <c r="A318" s="438"/>
      <c r="B318" s="419" t="s">
        <v>507</v>
      </c>
      <c r="C318" s="438"/>
      <c r="D318" s="418"/>
      <c r="E318" s="420" t="s">
        <v>508</v>
      </c>
      <c r="F318" s="421">
        <f>F319</f>
        <v>2240000</v>
      </c>
      <c r="G318" s="421">
        <f>G319</f>
        <v>0</v>
      </c>
      <c r="H318" s="421">
        <f>H319</f>
        <v>2240000</v>
      </c>
      <c r="I318" s="421">
        <f>I319</f>
        <v>2240000</v>
      </c>
      <c r="J318" s="421">
        <f>J319</f>
        <v>0</v>
      </c>
      <c r="K318" s="418"/>
    </row>
    <row r="319" spans="1:11" hidden="1" x14ac:dyDescent="0.25">
      <c r="A319" s="438"/>
      <c r="B319" s="419" t="s">
        <v>507</v>
      </c>
      <c r="C319" s="419" t="s">
        <v>359</v>
      </c>
      <c r="D319" s="418"/>
      <c r="E319" s="420" t="s">
        <v>67</v>
      </c>
      <c r="F319" s="421">
        <f>F320+F322</f>
        <v>2240000</v>
      </c>
      <c r="G319" s="421">
        <f>G320+G322</f>
        <v>0</v>
      </c>
      <c r="H319" s="421">
        <f>H320+H322</f>
        <v>2240000</v>
      </c>
      <c r="I319" s="421">
        <f>I320+I322</f>
        <v>2240000</v>
      </c>
      <c r="J319" s="421">
        <f>J320+J322</f>
        <v>0</v>
      </c>
      <c r="K319" s="418"/>
    </row>
    <row r="320" spans="1:11" hidden="1" x14ac:dyDescent="0.25">
      <c r="A320" s="440"/>
      <c r="B320" s="423" t="s">
        <v>507</v>
      </c>
      <c r="C320" s="423" t="s">
        <v>360</v>
      </c>
      <c r="D320" s="422"/>
      <c r="E320" s="424" t="s">
        <v>361</v>
      </c>
      <c r="F320" s="425">
        <f>SUM(F321)</f>
        <v>1040000</v>
      </c>
      <c r="G320" s="425">
        <f>SUM(G321)</f>
        <v>0</v>
      </c>
      <c r="H320" s="425">
        <f>SUM(H321)</f>
        <v>1040000</v>
      </c>
      <c r="I320" s="425">
        <f>SUM(I321)</f>
        <v>1040000</v>
      </c>
      <c r="J320" s="425">
        <f>SUM(J321)</f>
        <v>0</v>
      </c>
      <c r="K320" s="422"/>
    </row>
    <row r="321" spans="1:11" hidden="1" x14ac:dyDescent="0.25">
      <c r="A321" s="439"/>
      <c r="B321" s="427" t="s">
        <v>507</v>
      </c>
      <c r="C321" s="427" t="s">
        <v>368</v>
      </c>
      <c r="D321" s="426"/>
      <c r="E321" s="428" t="s">
        <v>369</v>
      </c>
      <c r="F321" s="429">
        <v>1040000</v>
      </c>
      <c r="G321" s="429">
        <v>0</v>
      </c>
      <c r="H321" s="429">
        <f>[2]Nov!I354</f>
        <v>1040000</v>
      </c>
      <c r="I321" s="429">
        <f t="shared" ref="I321" si="131">G321+H321</f>
        <v>1040000</v>
      </c>
      <c r="J321" s="429">
        <f t="shared" ref="J321" si="132">F321-I321</f>
        <v>0</v>
      </c>
      <c r="K321" s="426"/>
    </row>
    <row r="322" spans="1:11" hidden="1" x14ac:dyDescent="0.25">
      <c r="A322" s="440"/>
      <c r="B322" s="423" t="s">
        <v>507</v>
      </c>
      <c r="C322" s="423" t="s">
        <v>370</v>
      </c>
      <c r="D322" s="422"/>
      <c r="E322" s="424" t="s">
        <v>81</v>
      </c>
      <c r="F322" s="425">
        <f>SUM(F323:F324)</f>
        <v>1200000</v>
      </c>
      <c r="G322" s="425">
        <f>SUM(G323:G324)</f>
        <v>0</v>
      </c>
      <c r="H322" s="425">
        <f>SUM(H323:H324)</f>
        <v>1200000</v>
      </c>
      <c r="I322" s="425">
        <f>SUM(I323:I324)</f>
        <v>1200000</v>
      </c>
      <c r="J322" s="425">
        <f>SUM(J323:J324)</f>
        <v>0</v>
      </c>
      <c r="K322" s="422"/>
    </row>
    <row r="323" spans="1:11" hidden="1" x14ac:dyDescent="0.25">
      <c r="A323" s="439"/>
      <c r="B323" s="427" t="s">
        <v>507</v>
      </c>
      <c r="C323" s="427" t="s">
        <v>476</v>
      </c>
      <c r="D323" s="426"/>
      <c r="E323" s="428" t="s">
        <v>477</v>
      </c>
      <c r="F323" s="429">
        <v>450000</v>
      </c>
      <c r="G323" s="429">
        <v>0</v>
      </c>
      <c r="H323" s="429">
        <f>[2]Nov!I356</f>
        <v>450000</v>
      </c>
      <c r="I323" s="429">
        <f t="shared" ref="I323:I324" si="133">G323+H323</f>
        <v>450000</v>
      </c>
      <c r="J323" s="429">
        <f t="shared" ref="J323:J324" si="134">F323-I323</f>
        <v>0</v>
      </c>
      <c r="K323" s="426"/>
    </row>
    <row r="324" spans="1:11" hidden="1" x14ac:dyDescent="0.25">
      <c r="A324" s="450"/>
      <c r="B324" s="451" t="s">
        <v>507</v>
      </c>
      <c r="C324" s="451" t="s">
        <v>478</v>
      </c>
      <c r="D324" s="452"/>
      <c r="E324" s="453" t="s">
        <v>479</v>
      </c>
      <c r="F324" s="454">
        <v>750000</v>
      </c>
      <c r="G324" s="454">
        <v>0</v>
      </c>
      <c r="H324" s="429">
        <f>[2]Nov!I357</f>
        <v>750000</v>
      </c>
      <c r="I324" s="454">
        <f t="shared" si="133"/>
        <v>750000</v>
      </c>
      <c r="J324" s="454">
        <f t="shared" si="134"/>
        <v>0</v>
      </c>
      <c r="K324" s="452"/>
    </row>
    <row r="325" spans="1:11" hidden="1" x14ac:dyDescent="0.25">
      <c r="A325" s="439"/>
      <c r="B325" s="427"/>
      <c r="C325" s="427"/>
      <c r="D325" s="426"/>
      <c r="E325" s="428"/>
      <c r="F325" s="429"/>
      <c r="G325" s="429"/>
      <c r="H325" s="429"/>
      <c r="I325" s="429"/>
      <c r="J325" s="429"/>
      <c r="K325" s="426"/>
    </row>
    <row r="326" spans="1:11" ht="38.25" x14ac:dyDescent="0.25">
      <c r="A326" s="455"/>
      <c r="B326" s="460" t="s">
        <v>509</v>
      </c>
      <c r="C326" s="455"/>
      <c r="D326" s="457"/>
      <c r="E326" s="461" t="s">
        <v>510</v>
      </c>
      <c r="F326" s="462">
        <f t="shared" ref="F326:J327" si="135">F327</f>
        <v>3250000</v>
      </c>
      <c r="G326" s="462">
        <f t="shared" si="135"/>
        <v>0</v>
      </c>
      <c r="H326" s="462">
        <f t="shared" si="135"/>
        <v>3250000</v>
      </c>
      <c r="I326" s="462">
        <f t="shared" si="135"/>
        <v>3250000</v>
      </c>
      <c r="J326" s="462">
        <f t="shared" si="135"/>
        <v>0</v>
      </c>
      <c r="K326" s="457"/>
    </row>
    <row r="327" spans="1:11" ht="0.75" customHeight="1" x14ac:dyDescent="0.25">
      <c r="A327" s="438"/>
      <c r="B327" s="419" t="s">
        <v>509</v>
      </c>
      <c r="C327" s="419" t="s">
        <v>359</v>
      </c>
      <c r="D327" s="418"/>
      <c r="E327" s="420" t="s">
        <v>67</v>
      </c>
      <c r="F327" s="421">
        <f t="shared" si="135"/>
        <v>3250000</v>
      </c>
      <c r="G327" s="421">
        <f t="shared" si="135"/>
        <v>0</v>
      </c>
      <c r="H327" s="421">
        <f t="shared" si="135"/>
        <v>3250000</v>
      </c>
      <c r="I327" s="421">
        <f t="shared" si="135"/>
        <v>3250000</v>
      </c>
      <c r="J327" s="421">
        <f t="shared" si="135"/>
        <v>0</v>
      </c>
      <c r="K327" s="418"/>
    </row>
    <row r="328" spans="1:11" hidden="1" x14ac:dyDescent="0.25">
      <c r="A328" s="440"/>
      <c r="B328" s="423" t="s">
        <v>509</v>
      </c>
      <c r="C328" s="423" t="s">
        <v>460</v>
      </c>
      <c r="D328" s="422"/>
      <c r="E328" s="424" t="s">
        <v>461</v>
      </c>
      <c r="F328" s="425">
        <f>SUM(F329)</f>
        <v>3250000</v>
      </c>
      <c r="G328" s="425">
        <f>SUM(G329)</f>
        <v>0</v>
      </c>
      <c r="H328" s="425">
        <f>SUM(H329)</f>
        <v>3250000</v>
      </c>
      <c r="I328" s="425">
        <f>SUM(I329)</f>
        <v>3250000</v>
      </c>
      <c r="J328" s="425">
        <f>SUM(J329)</f>
        <v>0</v>
      </c>
      <c r="K328" s="422"/>
    </row>
    <row r="329" spans="1:11" hidden="1" x14ac:dyDescent="0.25">
      <c r="A329" s="439"/>
      <c r="B329" s="427" t="s">
        <v>509</v>
      </c>
      <c r="C329" s="427" t="s">
        <v>462</v>
      </c>
      <c r="D329" s="426"/>
      <c r="E329" s="428" t="s">
        <v>463</v>
      </c>
      <c r="F329" s="429">
        <v>3250000</v>
      </c>
      <c r="G329" s="429">
        <v>0</v>
      </c>
      <c r="H329" s="429">
        <f>[2]Nov!I362</f>
        <v>3250000</v>
      </c>
      <c r="I329" s="429">
        <f t="shared" ref="I329" si="136">G329+H329</f>
        <v>3250000</v>
      </c>
      <c r="J329" s="429">
        <f t="shared" ref="J329" si="137">F329-I329</f>
        <v>0</v>
      </c>
      <c r="K329" s="426"/>
    </row>
    <row r="330" spans="1:11" hidden="1" x14ac:dyDescent="0.25">
      <c r="A330" s="439"/>
      <c r="B330" s="427"/>
      <c r="C330" s="427"/>
      <c r="D330" s="426"/>
      <c r="E330" s="428"/>
      <c r="F330" s="429"/>
      <c r="G330" s="429"/>
      <c r="H330" s="429"/>
      <c r="I330" s="429"/>
      <c r="J330" s="429"/>
      <c r="K330" s="426"/>
    </row>
    <row r="331" spans="1:11" x14ac:dyDescent="0.25">
      <c r="A331" s="438"/>
      <c r="B331" s="419" t="s">
        <v>511</v>
      </c>
      <c r="C331" s="438"/>
      <c r="D331" s="418"/>
      <c r="E331" s="420" t="s">
        <v>512</v>
      </c>
      <c r="F331" s="421">
        <f>F332</f>
        <v>2250000</v>
      </c>
      <c r="G331" s="421">
        <f>G332</f>
        <v>0</v>
      </c>
      <c r="H331" s="421">
        <f>H332</f>
        <v>2250000</v>
      </c>
      <c r="I331" s="421">
        <f>I332</f>
        <v>2250000</v>
      </c>
      <c r="J331" s="421">
        <f>J332</f>
        <v>0</v>
      </c>
      <c r="K331" s="418"/>
    </row>
    <row r="332" spans="1:11" hidden="1" x14ac:dyDescent="0.25">
      <c r="A332" s="438"/>
      <c r="B332" s="419" t="s">
        <v>511</v>
      </c>
      <c r="C332" s="419" t="s">
        <v>359</v>
      </c>
      <c r="D332" s="418"/>
      <c r="E332" s="420" t="s">
        <v>67</v>
      </c>
      <c r="F332" s="421">
        <f>F333+F337</f>
        <v>2250000</v>
      </c>
      <c r="G332" s="421">
        <f>G333+G337</f>
        <v>0</v>
      </c>
      <c r="H332" s="421">
        <f>H333+H337</f>
        <v>2250000</v>
      </c>
      <c r="I332" s="421">
        <f>I333+I337</f>
        <v>2250000</v>
      </c>
      <c r="J332" s="421">
        <f>J333+J337</f>
        <v>0</v>
      </c>
      <c r="K332" s="418"/>
    </row>
    <row r="333" spans="1:11" hidden="1" x14ac:dyDescent="0.25">
      <c r="A333" s="440"/>
      <c r="B333" s="423" t="s">
        <v>511</v>
      </c>
      <c r="C333" s="423" t="s">
        <v>360</v>
      </c>
      <c r="D333" s="422"/>
      <c r="E333" s="424" t="s">
        <v>361</v>
      </c>
      <c r="F333" s="425">
        <f>SUM(F334:F336)</f>
        <v>1800000</v>
      </c>
      <c r="G333" s="425">
        <f>SUM(G334:G336)</f>
        <v>0</v>
      </c>
      <c r="H333" s="425">
        <f>SUM(H334:H336)</f>
        <v>1800000</v>
      </c>
      <c r="I333" s="425">
        <f>SUM(I334:I336)</f>
        <v>1800000</v>
      </c>
      <c r="J333" s="425">
        <f>SUM(J334:J336)</f>
        <v>0</v>
      </c>
      <c r="K333" s="422"/>
    </row>
    <row r="334" spans="1:11" hidden="1" x14ac:dyDescent="0.25">
      <c r="A334" s="439"/>
      <c r="B334" s="427" t="s">
        <v>511</v>
      </c>
      <c r="C334" s="427" t="s">
        <v>362</v>
      </c>
      <c r="D334" s="426"/>
      <c r="E334" s="428" t="s">
        <v>363</v>
      </c>
      <c r="F334" s="429">
        <v>300000</v>
      </c>
      <c r="G334" s="429">
        <v>0</v>
      </c>
      <c r="H334" s="429">
        <f>[2]Nov!I367</f>
        <v>300000</v>
      </c>
      <c r="I334" s="429">
        <f t="shared" ref="I334:I336" si="138">G334+H334</f>
        <v>300000</v>
      </c>
      <c r="J334" s="429">
        <f t="shared" ref="J334:J336" si="139">F334-I334</f>
        <v>0</v>
      </c>
      <c r="K334" s="426"/>
    </row>
    <row r="335" spans="1:11" hidden="1" x14ac:dyDescent="0.25">
      <c r="A335" s="439"/>
      <c r="B335" s="427" t="s">
        <v>511</v>
      </c>
      <c r="C335" s="427" t="s">
        <v>366</v>
      </c>
      <c r="D335" s="426"/>
      <c r="E335" s="428" t="s">
        <v>367</v>
      </c>
      <c r="F335" s="429">
        <v>300000</v>
      </c>
      <c r="G335" s="429">
        <v>0</v>
      </c>
      <c r="H335" s="429">
        <f>[2]Nov!I368</f>
        <v>300000</v>
      </c>
      <c r="I335" s="429">
        <f t="shared" si="138"/>
        <v>300000</v>
      </c>
      <c r="J335" s="429">
        <f t="shared" si="139"/>
        <v>0</v>
      </c>
      <c r="K335" s="426"/>
    </row>
    <row r="336" spans="1:11" hidden="1" x14ac:dyDescent="0.25">
      <c r="A336" s="439"/>
      <c r="B336" s="427" t="s">
        <v>511</v>
      </c>
      <c r="C336" s="427" t="s">
        <v>368</v>
      </c>
      <c r="D336" s="426"/>
      <c r="E336" s="428" t="s">
        <v>369</v>
      </c>
      <c r="F336" s="429">
        <v>1200000</v>
      </c>
      <c r="G336" s="429">
        <v>0</v>
      </c>
      <c r="H336" s="429">
        <f>[2]Nov!I369</f>
        <v>1200000</v>
      </c>
      <c r="I336" s="429">
        <f t="shared" si="138"/>
        <v>1200000</v>
      </c>
      <c r="J336" s="429">
        <f t="shared" si="139"/>
        <v>0</v>
      </c>
      <c r="K336" s="426"/>
    </row>
    <row r="337" spans="1:11" hidden="1" x14ac:dyDescent="0.25">
      <c r="A337" s="440"/>
      <c r="B337" s="423" t="s">
        <v>511</v>
      </c>
      <c r="C337" s="423" t="s">
        <v>370</v>
      </c>
      <c r="D337" s="422"/>
      <c r="E337" s="424" t="s">
        <v>81</v>
      </c>
      <c r="F337" s="425">
        <f>SUM(F338)</f>
        <v>450000</v>
      </c>
      <c r="G337" s="425">
        <f>SUM(G338)</f>
        <v>0</v>
      </c>
      <c r="H337" s="425">
        <f>SUM(H338)</f>
        <v>450000</v>
      </c>
      <c r="I337" s="425">
        <f>SUM(I338)</f>
        <v>450000</v>
      </c>
      <c r="J337" s="425">
        <f>SUM(J338)</f>
        <v>0</v>
      </c>
      <c r="K337" s="422"/>
    </row>
    <row r="338" spans="1:11" hidden="1" x14ac:dyDescent="0.25">
      <c r="A338" s="439"/>
      <c r="B338" s="427" t="s">
        <v>511</v>
      </c>
      <c r="C338" s="427" t="s">
        <v>476</v>
      </c>
      <c r="D338" s="426"/>
      <c r="E338" s="428" t="s">
        <v>477</v>
      </c>
      <c r="F338" s="429">
        <v>450000</v>
      </c>
      <c r="G338" s="429">
        <v>0</v>
      </c>
      <c r="H338" s="429">
        <f>[2]Nov!I371</f>
        <v>450000</v>
      </c>
      <c r="I338" s="429">
        <f t="shared" ref="I338" si="140">G338+H338</f>
        <v>450000</v>
      </c>
      <c r="J338" s="429">
        <f t="shared" ref="J338" si="141">F338-I338</f>
        <v>0</v>
      </c>
      <c r="K338" s="426"/>
    </row>
    <row r="339" spans="1:11" hidden="1" x14ac:dyDescent="0.25">
      <c r="A339" s="439"/>
      <c r="B339" s="427"/>
      <c r="C339" s="427"/>
      <c r="D339" s="426"/>
      <c r="E339" s="428"/>
      <c r="F339" s="429"/>
      <c r="G339" s="429"/>
      <c r="H339" s="429"/>
      <c r="I339" s="429"/>
      <c r="J339" s="429"/>
      <c r="K339" s="426"/>
    </row>
    <row r="340" spans="1:11" x14ac:dyDescent="0.25">
      <c r="A340" s="438"/>
      <c r="B340" s="419" t="s">
        <v>513</v>
      </c>
      <c r="C340" s="438"/>
      <c r="D340" s="418"/>
      <c r="E340" s="420" t="s">
        <v>514</v>
      </c>
      <c r="F340" s="421">
        <f>F341</f>
        <v>2502000</v>
      </c>
      <c r="G340" s="421">
        <f>G341</f>
        <v>621000</v>
      </c>
      <c r="H340" s="421">
        <f>H341</f>
        <v>1863000</v>
      </c>
      <c r="I340" s="421">
        <f>I341</f>
        <v>2484000</v>
      </c>
      <c r="J340" s="421">
        <f>J341</f>
        <v>18000</v>
      </c>
      <c r="K340" s="418"/>
    </row>
    <row r="341" spans="1:11" hidden="1" x14ac:dyDescent="0.25">
      <c r="A341" s="438"/>
      <c r="B341" s="419" t="s">
        <v>513</v>
      </c>
      <c r="C341" s="419" t="s">
        <v>359</v>
      </c>
      <c r="D341" s="418"/>
      <c r="E341" s="420" t="s">
        <v>67</v>
      </c>
      <c r="F341" s="421">
        <f>F342+F344</f>
        <v>2502000</v>
      </c>
      <c r="G341" s="421">
        <f>G342+G344</f>
        <v>621000</v>
      </c>
      <c r="H341" s="421">
        <f>H342+H344</f>
        <v>1863000</v>
      </c>
      <c r="I341" s="421">
        <f>I342+I344</f>
        <v>2484000</v>
      </c>
      <c r="J341" s="421">
        <f>J342+J344</f>
        <v>18000</v>
      </c>
      <c r="K341" s="418"/>
    </row>
    <row r="342" spans="1:11" hidden="1" x14ac:dyDescent="0.25">
      <c r="A342" s="440"/>
      <c r="B342" s="423" t="s">
        <v>513</v>
      </c>
      <c r="C342" s="423" t="s">
        <v>360</v>
      </c>
      <c r="D342" s="422"/>
      <c r="E342" s="424" t="s">
        <v>361</v>
      </c>
      <c r="F342" s="425">
        <f>SUM(F343)</f>
        <v>342000</v>
      </c>
      <c r="G342" s="425">
        <f>SUM(G343)</f>
        <v>81000</v>
      </c>
      <c r="H342" s="425">
        <f>SUM(H343)</f>
        <v>243000</v>
      </c>
      <c r="I342" s="425">
        <f>SUM(I343)</f>
        <v>324000</v>
      </c>
      <c r="J342" s="425">
        <f>SUM(J343)</f>
        <v>18000</v>
      </c>
      <c r="K342" s="422"/>
    </row>
    <row r="343" spans="1:11" hidden="1" x14ac:dyDescent="0.25">
      <c r="A343" s="439"/>
      <c r="B343" s="427" t="s">
        <v>513</v>
      </c>
      <c r="C343" s="427" t="s">
        <v>515</v>
      </c>
      <c r="D343" s="426"/>
      <c r="E343" s="428" t="s">
        <v>516</v>
      </c>
      <c r="F343" s="429">
        <v>342000</v>
      </c>
      <c r="G343" s="429">
        <v>81000</v>
      </c>
      <c r="H343" s="429">
        <f>[2]Nov!I376</f>
        <v>243000</v>
      </c>
      <c r="I343" s="429">
        <f t="shared" ref="I343" si="142">G343+H343</f>
        <v>324000</v>
      </c>
      <c r="J343" s="429">
        <f t="shared" ref="J343" si="143">F343-I343</f>
        <v>18000</v>
      </c>
      <c r="K343" s="426"/>
    </row>
    <row r="344" spans="1:11" hidden="1" x14ac:dyDescent="0.25">
      <c r="A344" s="440"/>
      <c r="B344" s="423" t="s">
        <v>513</v>
      </c>
      <c r="C344" s="423" t="s">
        <v>370</v>
      </c>
      <c r="D344" s="422"/>
      <c r="E344" s="424" t="s">
        <v>81</v>
      </c>
      <c r="F344" s="425">
        <f>SUM(F345)</f>
        <v>2160000</v>
      </c>
      <c r="G344" s="425">
        <f>SUM(G345)</f>
        <v>540000</v>
      </c>
      <c r="H344" s="425">
        <f>SUM(H345)</f>
        <v>1620000</v>
      </c>
      <c r="I344" s="425">
        <f>SUM(I345)</f>
        <v>2160000</v>
      </c>
      <c r="J344" s="425">
        <f>SUM(J345)</f>
        <v>0</v>
      </c>
      <c r="K344" s="422"/>
    </row>
    <row r="345" spans="1:11" hidden="1" x14ac:dyDescent="0.25">
      <c r="A345" s="439"/>
      <c r="B345" s="427" t="s">
        <v>513</v>
      </c>
      <c r="C345" s="427" t="s">
        <v>398</v>
      </c>
      <c r="D345" s="426"/>
      <c r="E345" s="428" t="s">
        <v>399</v>
      </c>
      <c r="F345" s="429">
        <v>2160000</v>
      </c>
      <c r="G345" s="429">
        <v>540000</v>
      </c>
      <c r="H345" s="429">
        <f>[2]Nov!I378</f>
        <v>1620000</v>
      </c>
      <c r="I345" s="429">
        <f t="shared" ref="I345" si="144">G345+H345</f>
        <v>2160000</v>
      </c>
      <c r="J345" s="429">
        <f t="shared" ref="J345" si="145">F345-I345</f>
        <v>0</v>
      </c>
      <c r="K345" s="426"/>
    </row>
    <row r="346" spans="1:11" hidden="1" x14ac:dyDescent="0.25">
      <c r="A346" s="439"/>
      <c r="B346" s="427"/>
      <c r="C346" s="427"/>
      <c r="D346" s="426"/>
      <c r="E346" s="428"/>
      <c r="F346" s="429"/>
      <c r="G346" s="429"/>
      <c r="H346" s="429"/>
      <c r="I346" s="429"/>
      <c r="J346" s="429"/>
      <c r="K346" s="426"/>
    </row>
    <row r="347" spans="1:11" x14ac:dyDescent="0.25">
      <c r="A347" s="438"/>
      <c r="B347" s="419" t="s">
        <v>517</v>
      </c>
      <c r="C347" s="438"/>
      <c r="D347" s="418"/>
      <c r="E347" s="420" t="s">
        <v>518</v>
      </c>
      <c r="F347" s="421">
        <f t="shared" ref="F347:J348" si="146">F348</f>
        <v>6480000</v>
      </c>
      <c r="G347" s="421">
        <f t="shared" si="146"/>
        <v>1620000</v>
      </c>
      <c r="H347" s="421">
        <f t="shared" si="146"/>
        <v>4860000</v>
      </c>
      <c r="I347" s="421">
        <f t="shared" si="146"/>
        <v>6480000</v>
      </c>
      <c r="J347" s="421">
        <f t="shared" si="146"/>
        <v>0</v>
      </c>
      <c r="K347" s="418"/>
    </row>
    <row r="348" spans="1:11" hidden="1" x14ac:dyDescent="0.25">
      <c r="A348" s="438"/>
      <c r="B348" s="419" t="s">
        <v>517</v>
      </c>
      <c r="C348" s="419" t="s">
        <v>359</v>
      </c>
      <c r="D348" s="418"/>
      <c r="E348" s="420" t="s">
        <v>67</v>
      </c>
      <c r="F348" s="421">
        <f t="shared" si="146"/>
        <v>6480000</v>
      </c>
      <c r="G348" s="421">
        <f t="shared" si="146"/>
        <v>1620000</v>
      </c>
      <c r="H348" s="421">
        <f t="shared" si="146"/>
        <v>4860000</v>
      </c>
      <c r="I348" s="421">
        <f t="shared" si="146"/>
        <v>6480000</v>
      </c>
      <c r="J348" s="421">
        <f t="shared" si="146"/>
        <v>0</v>
      </c>
      <c r="K348" s="418"/>
    </row>
    <row r="349" spans="1:11" hidden="1" x14ac:dyDescent="0.25">
      <c r="A349" s="440"/>
      <c r="B349" s="423" t="s">
        <v>517</v>
      </c>
      <c r="C349" s="423" t="s">
        <v>460</v>
      </c>
      <c r="D349" s="422"/>
      <c r="E349" s="424" t="s">
        <v>461</v>
      </c>
      <c r="F349" s="425">
        <f>SUM(F350)</f>
        <v>6480000</v>
      </c>
      <c r="G349" s="425">
        <f>SUM(G350)</f>
        <v>1620000</v>
      </c>
      <c r="H349" s="425">
        <f>SUM(H350)</f>
        <v>4860000</v>
      </c>
      <c r="I349" s="425">
        <f>SUM(I350)</f>
        <v>6480000</v>
      </c>
      <c r="J349" s="425">
        <f>SUM(J350)</f>
        <v>0</v>
      </c>
      <c r="K349" s="422"/>
    </row>
    <row r="350" spans="1:11" hidden="1" x14ac:dyDescent="0.25">
      <c r="A350" s="439"/>
      <c r="B350" s="427" t="s">
        <v>517</v>
      </c>
      <c r="C350" s="427" t="s">
        <v>462</v>
      </c>
      <c r="D350" s="426"/>
      <c r="E350" s="428" t="s">
        <v>463</v>
      </c>
      <c r="F350" s="429">
        <v>6480000</v>
      </c>
      <c r="G350" s="429">
        <v>1620000</v>
      </c>
      <c r="H350" s="429">
        <f>[2]Nov!I385</f>
        <v>4860000</v>
      </c>
      <c r="I350" s="429">
        <f t="shared" ref="I350" si="147">G350+H350</f>
        <v>6480000</v>
      </c>
      <c r="J350" s="429">
        <f t="shared" ref="J350" si="148">F350-I350</f>
        <v>0</v>
      </c>
      <c r="K350" s="426"/>
    </row>
    <row r="351" spans="1:11" hidden="1" x14ac:dyDescent="0.25">
      <c r="A351" s="439"/>
      <c r="B351" s="427"/>
      <c r="C351" s="427"/>
      <c r="D351" s="426"/>
      <c r="E351" s="428"/>
      <c r="F351" s="429"/>
      <c r="G351" s="429"/>
      <c r="H351" s="429"/>
      <c r="I351" s="429"/>
      <c r="J351" s="429"/>
      <c r="K351" s="426"/>
    </row>
    <row r="352" spans="1:11" x14ac:dyDescent="0.25">
      <c r="A352" s="438"/>
      <c r="B352" s="419" t="s">
        <v>519</v>
      </c>
      <c r="C352" s="438"/>
      <c r="D352" s="418"/>
      <c r="E352" s="420" t="s">
        <v>520</v>
      </c>
      <c r="F352" s="421">
        <f>F353</f>
        <v>16367500</v>
      </c>
      <c r="G352" s="421">
        <f>G353</f>
        <v>1657500</v>
      </c>
      <c r="H352" s="421">
        <f>H353</f>
        <v>14095750</v>
      </c>
      <c r="I352" s="421">
        <f>I353</f>
        <v>15753250</v>
      </c>
      <c r="J352" s="421">
        <f>J353</f>
        <v>614250</v>
      </c>
      <c r="K352" s="418"/>
    </row>
    <row r="353" spans="1:11" hidden="1" x14ac:dyDescent="0.25">
      <c r="A353" s="438"/>
      <c r="B353" s="419" t="s">
        <v>519</v>
      </c>
      <c r="C353" s="419" t="s">
        <v>359</v>
      </c>
      <c r="D353" s="418"/>
      <c r="E353" s="420" t="s">
        <v>67</v>
      </c>
      <c r="F353" s="421">
        <f>F354+F358</f>
        <v>16367500</v>
      </c>
      <c r="G353" s="421">
        <f>G354+G358</f>
        <v>1657500</v>
      </c>
      <c r="H353" s="421">
        <f>H354+H358</f>
        <v>14095750</v>
      </c>
      <c r="I353" s="421">
        <f>I354+I358</f>
        <v>15753250</v>
      </c>
      <c r="J353" s="421">
        <f>J354+J358</f>
        <v>614250</v>
      </c>
      <c r="K353" s="418"/>
    </row>
    <row r="354" spans="1:11" hidden="1" x14ac:dyDescent="0.25">
      <c r="A354" s="440"/>
      <c r="B354" s="423" t="s">
        <v>519</v>
      </c>
      <c r="C354" s="423" t="s">
        <v>360</v>
      </c>
      <c r="D354" s="422"/>
      <c r="E354" s="424" t="s">
        <v>361</v>
      </c>
      <c r="F354" s="425">
        <f>SUM(F355:F357)</f>
        <v>3497500</v>
      </c>
      <c r="G354" s="425">
        <f>SUM(G355:G357)</f>
        <v>585000</v>
      </c>
      <c r="H354" s="425">
        <f>SUM(H355:H357)</f>
        <v>2298250</v>
      </c>
      <c r="I354" s="425">
        <f>SUM(I355:I357)</f>
        <v>2883250</v>
      </c>
      <c r="J354" s="425">
        <f>SUM(J355:J357)</f>
        <v>614250</v>
      </c>
      <c r="K354" s="422"/>
    </row>
    <row r="355" spans="1:11" hidden="1" x14ac:dyDescent="0.25">
      <c r="A355" s="439"/>
      <c r="B355" s="427" t="s">
        <v>519</v>
      </c>
      <c r="C355" s="427" t="s">
        <v>362</v>
      </c>
      <c r="D355" s="426"/>
      <c r="E355" s="428" t="s">
        <v>363</v>
      </c>
      <c r="F355" s="429">
        <v>180000</v>
      </c>
      <c r="G355" s="429">
        <v>0</v>
      </c>
      <c r="H355" s="429">
        <f>[2]Nov!I390</f>
        <v>180000</v>
      </c>
      <c r="I355" s="429">
        <f t="shared" ref="I355:I357" si="149">G355+H355</f>
        <v>180000</v>
      </c>
      <c r="J355" s="429">
        <f t="shared" ref="J355:J357" si="150">F355-I355</f>
        <v>0</v>
      </c>
      <c r="K355" s="426"/>
    </row>
    <row r="356" spans="1:11" hidden="1" x14ac:dyDescent="0.25">
      <c r="A356" s="439"/>
      <c r="B356" s="427" t="s">
        <v>519</v>
      </c>
      <c r="C356" s="427" t="s">
        <v>366</v>
      </c>
      <c r="D356" s="426"/>
      <c r="E356" s="428" t="s">
        <v>367</v>
      </c>
      <c r="F356" s="429">
        <v>100000</v>
      </c>
      <c r="G356" s="429">
        <v>0</v>
      </c>
      <c r="H356" s="429">
        <f>[2]Nov!I391</f>
        <v>100000</v>
      </c>
      <c r="I356" s="429">
        <f t="shared" si="149"/>
        <v>100000</v>
      </c>
      <c r="J356" s="429">
        <f t="shared" si="150"/>
        <v>0</v>
      </c>
      <c r="K356" s="426"/>
    </row>
    <row r="357" spans="1:11" hidden="1" x14ac:dyDescent="0.25">
      <c r="A357" s="439"/>
      <c r="B357" s="427" t="s">
        <v>519</v>
      </c>
      <c r="C357" s="427" t="s">
        <v>368</v>
      </c>
      <c r="D357" s="426"/>
      <c r="E357" s="428" t="s">
        <v>369</v>
      </c>
      <c r="F357" s="429">
        <v>3217500</v>
      </c>
      <c r="G357" s="429">
        <v>585000</v>
      </c>
      <c r="H357" s="429">
        <f>[2]Nov!I392</f>
        <v>2018250</v>
      </c>
      <c r="I357" s="429">
        <f t="shared" si="149"/>
        <v>2603250</v>
      </c>
      <c r="J357" s="429">
        <f t="shared" si="150"/>
        <v>614250</v>
      </c>
      <c r="K357" s="426"/>
    </row>
    <row r="358" spans="1:11" hidden="1" x14ac:dyDescent="0.25">
      <c r="A358" s="440"/>
      <c r="B358" s="423" t="s">
        <v>519</v>
      </c>
      <c r="C358" s="423" t="s">
        <v>370</v>
      </c>
      <c r="D358" s="422"/>
      <c r="E358" s="424" t="s">
        <v>81</v>
      </c>
      <c r="F358" s="425">
        <f>SUM(F359)</f>
        <v>12870000</v>
      </c>
      <c r="G358" s="425">
        <f>SUM(G359)</f>
        <v>1072500</v>
      </c>
      <c r="H358" s="425">
        <f>SUM(H359)</f>
        <v>11797500</v>
      </c>
      <c r="I358" s="425">
        <f>SUM(I359)</f>
        <v>12870000</v>
      </c>
      <c r="J358" s="425">
        <f>SUM(J359)</f>
        <v>0</v>
      </c>
      <c r="K358" s="422"/>
    </row>
    <row r="359" spans="1:11" hidden="1" x14ac:dyDescent="0.25">
      <c r="A359" s="439"/>
      <c r="B359" s="427" t="s">
        <v>519</v>
      </c>
      <c r="C359" s="427" t="s">
        <v>398</v>
      </c>
      <c r="D359" s="426"/>
      <c r="E359" s="428" t="s">
        <v>399</v>
      </c>
      <c r="F359" s="429">
        <v>12870000</v>
      </c>
      <c r="G359" s="429">
        <v>1072500</v>
      </c>
      <c r="H359" s="429">
        <f>[2]Nov!I394</f>
        <v>11797500</v>
      </c>
      <c r="I359" s="429">
        <f t="shared" ref="I359" si="151">G359+H359</f>
        <v>12870000</v>
      </c>
      <c r="J359" s="429">
        <f t="shared" ref="J359" si="152">F359-I359</f>
        <v>0</v>
      </c>
      <c r="K359" s="426"/>
    </row>
    <row r="360" spans="1:11" hidden="1" x14ac:dyDescent="0.25">
      <c r="A360" s="439"/>
      <c r="B360" s="427"/>
      <c r="C360" s="427"/>
      <c r="D360" s="426"/>
      <c r="E360" s="428"/>
      <c r="F360" s="429"/>
      <c r="G360" s="429"/>
      <c r="H360" s="429"/>
      <c r="I360" s="429"/>
      <c r="J360" s="429"/>
      <c r="K360" s="426"/>
    </row>
    <row r="361" spans="1:11" x14ac:dyDescent="0.25">
      <c r="A361" s="438"/>
      <c r="B361" s="419" t="s">
        <v>521</v>
      </c>
      <c r="C361" s="438"/>
      <c r="D361" s="418"/>
      <c r="E361" s="420" t="s">
        <v>522</v>
      </c>
      <c r="F361" s="421">
        <f>F362</f>
        <v>2270000</v>
      </c>
      <c r="G361" s="421">
        <f>G362</f>
        <v>0</v>
      </c>
      <c r="H361" s="421">
        <f>H362</f>
        <v>2270000</v>
      </c>
      <c r="I361" s="421">
        <f>I362</f>
        <v>2270000</v>
      </c>
      <c r="J361" s="421">
        <f>J362</f>
        <v>0</v>
      </c>
      <c r="K361" s="418"/>
    </row>
    <row r="362" spans="1:11" hidden="1" x14ac:dyDescent="0.25">
      <c r="A362" s="438"/>
      <c r="B362" s="419" t="s">
        <v>521</v>
      </c>
      <c r="C362" s="419" t="s">
        <v>359</v>
      </c>
      <c r="D362" s="418"/>
      <c r="E362" s="420" t="s">
        <v>67</v>
      </c>
      <c r="F362" s="421">
        <f>F363+F366</f>
        <v>2270000</v>
      </c>
      <c r="G362" s="421">
        <f>G363+G366</f>
        <v>0</v>
      </c>
      <c r="H362" s="421">
        <f>H363+H366</f>
        <v>2270000</v>
      </c>
      <c r="I362" s="421">
        <f>I363+I366</f>
        <v>2270000</v>
      </c>
      <c r="J362" s="421">
        <f>J363+J366</f>
        <v>0</v>
      </c>
      <c r="K362" s="418"/>
    </row>
    <row r="363" spans="1:11" hidden="1" x14ac:dyDescent="0.25">
      <c r="A363" s="440"/>
      <c r="B363" s="423" t="s">
        <v>521</v>
      </c>
      <c r="C363" s="423" t="s">
        <v>360</v>
      </c>
      <c r="D363" s="422"/>
      <c r="E363" s="424" t="s">
        <v>361</v>
      </c>
      <c r="F363" s="425">
        <f>SUM(F364:F365)</f>
        <v>1070000</v>
      </c>
      <c r="G363" s="425">
        <f>SUM(G364:G365)</f>
        <v>0</v>
      </c>
      <c r="H363" s="425">
        <f>SUM(H364:H365)</f>
        <v>1070000</v>
      </c>
      <c r="I363" s="425">
        <f>SUM(I364:I365)</f>
        <v>1070000</v>
      </c>
      <c r="J363" s="425">
        <f>SUM(J364:J365)</f>
        <v>0</v>
      </c>
      <c r="K363" s="422"/>
    </row>
    <row r="364" spans="1:11" hidden="1" x14ac:dyDescent="0.25">
      <c r="A364" s="439"/>
      <c r="B364" s="427" t="s">
        <v>521</v>
      </c>
      <c r="C364" s="427" t="s">
        <v>366</v>
      </c>
      <c r="D364" s="426"/>
      <c r="E364" s="428" t="s">
        <v>367</v>
      </c>
      <c r="F364" s="429">
        <v>30000</v>
      </c>
      <c r="G364" s="429">
        <v>0</v>
      </c>
      <c r="H364" s="429">
        <f>[2]Nov!I399</f>
        <v>30000</v>
      </c>
      <c r="I364" s="429">
        <f t="shared" ref="I364:I365" si="153">G364+H364</f>
        <v>30000</v>
      </c>
      <c r="J364" s="429">
        <f t="shared" ref="J364:J365" si="154">F364-I364</f>
        <v>0</v>
      </c>
      <c r="K364" s="426"/>
    </row>
    <row r="365" spans="1:11" hidden="1" x14ac:dyDescent="0.25">
      <c r="A365" s="439"/>
      <c r="B365" s="427" t="s">
        <v>521</v>
      </c>
      <c r="C365" s="427" t="s">
        <v>368</v>
      </c>
      <c r="D365" s="426"/>
      <c r="E365" s="428" t="s">
        <v>369</v>
      </c>
      <c r="F365" s="429">
        <v>1040000</v>
      </c>
      <c r="G365" s="429">
        <v>0</v>
      </c>
      <c r="H365" s="429">
        <f>[2]Nov!I400</f>
        <v>1040000</v>
      </c>
      <c r="I365" s="429">
        <f t="shared" si="153"/>
        <v>1040000</v>
      </c>
      <c r="J365" s="429">
        <f t="shared" si="154"/>
        <v>0</v>
      </c>
      <c r="K365" s="426"/>
    </row>
    <row r="366" spans="1:11" hidden="1" x14ac:dyDescent="0.25">
      <c r="A366" s="440"/>
      <c r="B366" s="423" t="s">
        <v>521</v>
      </c>
      <c r="C366" s="423" t="s">
        <v>370</v>
      </c>
      <c r="D366" s="422"/>
      <c r="E366" s="424" t="s">
        <v>81</v>
      </c>
      <c r="F366" s="425">
        <f>SUM(F367:F368)</f>
        <v>1200000</v>
      </c>
      <c r="G366" s="425">
        <f>SUM(G367:G368)</f>
        <v>0</v>
      </c>
      <c r="H366" s="425">
        <f>SUM(H367:H368)</f>
        <v>1200000</v>
      </c>
      <c r="I366" s="425">
        <f>SUM(I367:I368)</f>
        <v>1200000</v>
      </c>
      <c r="J366" s="425">
        <f>SUM(J367:J368)</f>
        <v>0</v>
      </c>
      <c r="K366" s="422"/>
    </row>
    <row r="367" spans="1:11" hidden="1" x14ac:dyDescent="0.25">
      <c r="A367" s="439"/>
      <c r="B367" s="427" t="s">
        <v>521</v>
      </c>
      <c r="C367" s="427" t="s">
        <v>476</v>
      </c>
      <c r="D367" s="426"/>
      <c r="E367" s="428" t="s">
        <v>477</v>
      </c>
      <c r="F367" s="429">
        <v>450000</v>
      </c>
      <c r="G367" s="429">
        <v>0</v>
      </c>
      <c r="H367" s="429">
        <f>[2]Nov!I402</f>
        <v>450000</v>
      </c>
      <c r="I367" s="429">
        <f t="shared" ref="I367:I368" si="155">G367+H367</f>
        <v>450000</v>
      </c>
      <c r="J367" s="429">
        <f t="shared" ref="J367:J368" si="156">F367-I367</f>
        <v>0</v>
      </c>
      <c r="K367" s="426"/>
    </row>
    <row r="368" spans="1:11" hidden="1" x14ac:dyDescent="0.25">
      <c r="A368" s="450"/>
      <c r="B368" s="451" t="s">
        <v>521</v>
      </c>
      <c r="C368" s="451" t="s">
        <v>478</v>
      </c>
      <c r="D368" s="452"/>
      <c r="E368" s="453" t="s">
        <v>479</v>
      </c>
      <c r="F368" s="454">
        <v>750000</v>
      </c>
      <c r="G368" s="454">
        <v>0</v>
      </c>
      <c r="H368" s="429">
        <f>[2]Nov!I403</f>
        <v>750000</v>
      </c>
      <c r="I368" s="454">
        <f t="shared" si="155"/>
        <v>750000</v>
      </c>
      <c r="J368" s="454">
        <f t="shared" si="156"/>
        <v>0</v>
      </c>
      <c r="K368" s="452"/>
    </row>
    <row r="369" spans="1:11" hidden="1" x14ac:dyDescent="0.25">
      <c r="A369" s="439"/>
      <c r="B369" s="427"/>
      <c r="C369" s="427"/>
      <c r="D369" s="426"/>
      <c r="E369" s="428"/>
      <c r="F369" s="429"/>
      <c r="G369" s="429"/>
      <c r="H369" s="429"/>
      <c r="I369" s="429"/>
      <c r="J369" s="429"/>
      <c r="K369" s="426"/>
    </row>
    <row r="370" spans="1:11" x14ac:dyDescent="0.25">
      <c r="A370" s="455"/>
      <c r="B370" s="456" t="s">
        <v>523</v>
      </c>
      <c r="C370" s="455"/>
      <c r="D370" s="458" t="s">
        <v>102</v>
      </c>
      <c r="E370" s="457"/>
      <c r="F370" s="459">
        <f>F371+F385+F398+F410+F420</f>
        <v>588646942</v>
      </c>
      <c r="G370" s="459">
        <f>G371+G385+G398+G410+G420</f>
        <v>18494130</v>
      </c>
      <c r="H370" s="459">
        <f>H371+H385+H398+H410+H420</f>
        <v>304450700</v>
      </c>
      <c r="I370" s="459">
        <f>I371+I385+I398+I410+I420</f>
        <v>322944830</v>
      </c>
      <c r="J370" s="459">
        <f>J371+J385+J398+J410+J420</f>
        <v>265702112</v>
      </c>
      <c r="K370" s="457"/>
    </row>
    <row r="371" spans="1:11" ht="14.25" customHeight="1" x14ac:dyDescent="0.25">
      <c r="A371" s="438"/>
      <c r="B371" s="419" t="s">
        <v>524</v>
      </c>
      <c r="C371" s="438"/>
      <c r="D371" s="418"/>
      <c r="E371" s="420" t="s">
        <v>525</v>
      </c>
      <c r="F371" s="421">
        <f>F372+F378</f>
        <v>531695942</v>
      </c>
      <c r="G371" s="421">
        <f>G372+G378</f>
        <v>0</v>
      </c>
      <c r="H371" s="421">
        <f>H372+H378</f>
        <v>294514700</v>
      </c>
      <c r="I371" s="421">
        <f>I372+I378</f>
        <v>294514700</v>
      </c>
      <c r="J371" s="421">
        <f>J372+J378</f>
        <v>237181242</v>
      </c>
      <c r="K371" s="418"/>
    </row>
    <row r="372" spans="1:11" hidden="1" x14ac:dyDescent="0.25">
      <c r="A372" s="438"/>
      <c r="B372" s="419" t="s">
        <v>524</v>
      </c>
      <c r="C372" s="419" t="s">
        <v>359</v>
      </c>
      <c r="D372" s="418"/>
      <c r="E372" s="420" t="s">
        <v>67</v>
      </c>
      <c r="F372" s="421">
        <f>F373</f>
        <v>1658462</v>
      </c>
      <c r="G372" s="421">
        <f>G373</f>
        <v>0</v>
      </c>
      <c r="H372" s="421">
        <f>H373</f>
        <v>644750</v>
      </c>
      <c r="I372" s="421">
        <f>I373</f>
        <v>644750</v>
      </c>
      <c r="J372" s="421">
        <f>J373</f>
        <v>1013712</v>
      </c>
      <c r="K372" s="418"/>
    </row>
    <row r="373" spans="1:11" hidden="1" x14ac:dyDescent="0.25">
      <c r="A373" s="440"/>
      <c r="B373" s="423" t="s">
        <v>524</v>
      </c>
      <c r="C373" s="423" t="s">
        <v>360</v>
      </c>
      <c r="D373" s="422"/>
      <c r="E373" s="424" t="s">
        <v>361</v>
      </c>
      <c r="F373" s="425">
        <f>SUM(F374:F377)</f>
        <v>1658462</v>
      </c>
      <c r="G373" s="425">
        <f>SUM(G374:G377)</f>
        <v>0</v>
      </c>
      <c r="H373" s="425">
        <f>SUM(H374:H377)</f>
        <v>644750</v>
      </c>
      <c r="I373" s="425">
        <f>SUM(I374:I377)</f>
        <v>644750</v>
      </c>
      <c r="J373" s="425">
        <f>SUM(J374:J377)</f>
        <v>1013712</v>
      </c>
      <c r="K373" s="422"/>
    </row>
    <row r="374" spans="1:11" hidden="1" x14ac:dyDescent="0.25">
      <c r="A374" s="439"/>
      <c r="B374" s="427" t="s">
        <v>524</v>
      </c>
      <c r="C374" s="427" t="s">
        <v>362</v>
      </c>
      <c r="D374" s="426"/>
      <c r="E374" s="428" t="s">
        <v>363</v>
      </c>
      <c r="F374" s="429">
        <v>125000</v>
      </c>
      <c r="G374" s="429">
        <v>0</v>
      </c>
      <c r="H374" s="429">
        <f>[2]Nov!I409</f>
        <v>50000</v>
      </c>
      <c r="I374" s="429">
        <f t="shared" ref="I374:I377" si="157">G374+H374</f>
        <v>50000</v>
      </c>
      <c r="J374" s="429">
        <f t="shared" ref="J374:J377" si="158">F374-I374</f>
        <v>75000</v>
      </c>
      <c r="K374" s="426"/>
    </row>
    <row r="375" spans="1:11" hidden="1" x14ac:dyDescent="0.25">
      <c r="A375" s="439"/>
      <c r="B375" s="427" t="s">
        <v>524</v>
      </c>
      <c r="C375" s="427" t="s">
        <v>366</v>
      </c>
      <c r="D375" s="426"/>
      <c r="E375" s="428" t="s">
        <v>367</v>
      </c>
      <c r="F375" s="429">
        <v>170962</v>
      </c>
      <c r="G375" s="429">
        <v>0</v>
      </c>
      <c r="H375" s="429">
        <f>[2]Nov!I410</f>
        <v>69750</v>
      </c>
      <c r="I375" s="429">
        <f t="shared" si="157"/>
        <v>69750</v>
      </c>
      <c r="J375" s="429">
        <f t="shared" si="158"/>
        <v>101212</v>
      </c>
      <c r="K375" s="426"/>
    </row>
    <row r="376" spans="1:11" hidden="1" x14ac:dyDescent="0.25">
      <c r="A376" s="439"/>
      <c r="B376" s="427" t="s">
        <v>524</v>
      </c>
      <c r="C376" s="427" t="s">
        <v>368</v>
      </c>
      <c r="D376" s="426"/>
      <c r="E376" s="428" t="s">
        <v>369</v>
      </c>
      <c r="F376" s="429">
        <v>487500</v>
      </c>
      <c r="G376" s="429">
        <v>0</v>
      </c>
      <c r="H376" s="429">
        <f>[2]Nov!I411</f>
        <v>0</v>
      </c>
      <c r="I376" s="429">
        <f t="shared" si="157"/>
        <v>0</v>
      </c>
      <c r="J376" s="429">
        <f t="shared" si="158"/>
        <v>487500</v>
      </c>
      <c r="K376" s="426"/>
    </row>
    <row r="377" spans="1:11" hidden="1" x14ac:dyDescent="0.25">
      <c r="A377" s="439"/>
      <c r="B377" s="427" t="s">
        <v>524</v>
      </c>
      <c r="C377" s="427" t="s">
        <v>487</v>
      </c>
      <c r="D377" s="426"/>
      <c r="E377" s="428" t="s">
        <v>488</v>
      </c>
      <c r="F377" s="429">
        <v>875000</v>
      </c>
      <c r="G377" s="429">
        <v>0</v>
      </c>
      <c r="H377" s="429">
        <f>[2]Nov!I412</f>
        <v>525000</v>
      </c>
      <c r="I377" s="429">
        <f t="shared" si="157"/>
        <v>525000</v>
      </c>
      <c r="J377" s="429">
        <f t="shared" si="158"/>
        <v>350000</v>
      </c>
      <c r="K377" s="426"/>
    </row>
    <row r="378" spans="1:11" hidden="1" x14ac:dyDescent="0.25">
      <c r="A378" s="438"/>
      <c r="B378" s="419" t="s">
        <v>524</v>
      </c>
      <c r="C378" s="419" t="s">
        <v>404</v>
      </c>
      <c r="D378" s="418"/>
      <c r="E378" s="420" t="s">
        <v>68</v>
      </c>
      <c r="F378" s="421">
        <f>F379</f>
        <v>530037480</v>
      </c>
      <c r="G378" s="421">
        <f>G379</f>
        <v>0</v>
      </c>
      <c r="H378" s="421">
        <f>H379</f>
        <v>293869950</v>
      </c>
      <c r="I378" s="421">
        <f>I379</f>
        <v>293869950</v>
      </c>
      <c r="J378" s="421">
        <f>J379</f>
        <v>236167530</v>
      </c>
      <c r="K378" s="418"/>
    </row>
    <row r="379" spans="1:11" hidden="1" x14ac:dyDescent="0.25">
      <c r="A379" s="440"/>
      <c r="B379" s="423" t="s">
        <v>524</v>
      </c>
      <c r="C379" s="423" t="s">
        <v>526</v>
      </c>
      <c r="D379" s="422"/>
      <c r="E379" s="424" t="s">
        <v>527</v>
      </c>
      <c r="F379" s="425">
        <f>SUM(F380:F383)</f>
        <v>530037480</v>
      </c>
      <c r="G379" s="425">
        <f>SUM(G380:G383)</f>
        <v>0</v>
      </c>
      <c r="H379" s="425">
        <f>SUM(H380:H383)</f>
        <v>293869950</v>
      </c>
      <c r="I379" s="425">
        <f>SUM(I380:I383)</f>
        <v>293869950</v>
      </c>
      <c r="J379" s="425">
        <f>SUM(J380:J383)</f>
        <v>236167530</v>
      </c>
      <c r="K379" s="422"/>
    </row>
    <row r="380" spans="1:11" hidden="1" x14ac:dyDescent="0.25">
      <c r="A380" s="439"/>
      <c r="B380" s="427" t="s">
        <v>524</v>
      </c>
      <c r="C380" s="427" t="s">
        <v>528</v>
      </c>
      <c r="D380" s="426"/>
      <c r="E380" s="428" t="s">
        <v>529</v>
      </c>
      <c r="F380" s="429">
        <v>7500000</v>
      </c>
      <c r="G380" s="429">
        <v>0</v>
      </c>
      <c r="H380" s="429">
        <f>[2]Nov!I415</f>
        <v>5000000</v>
      </c>
      <c r="I380" s="429">
        <f t="shared" ref="I380:I383" si="159">G380+H380</f>
        <v>5000000</v>
      </c>
      <c r="J380" s="429">
        <f t="shared" ref="J380:J383" si="160">F380-I380</f>
        <v>2500000</v>
      </c>
      <c r="K380" s="426"/>
    </row>
    <row r="381" spans="1:11" hidden="1" x14ac:dyDescent="0.25">
      <c r="A381" s="439"/>
      <c r="B381" s="427" t="s">
        <v>524</v>
      </c>
      <c r="C381" s="427" t="s">
        <v>530</v>
      </c>
      <c r="D381" s="426"/>
      <c r="E381" s="428" t="s">
        <v>531</v>
      </c>
      <c r="F381" s="429">
        <v>134322000</v>
      </c>
      <c r="G381" s="429">
        <v>0</v>
      </c>
      <c r="H381" s="429">
        <f>[2]Nov!I416</f>
        <v>98902000</v>
      </c>
      <c r="I381" s="429">
        <f t="shared" si="159"/>
        <v>98902000</v>
      </c>
      <c r="J381" s="429">
        <f t="shared" si="160"/>
        <v>35420000</v>
      </c>
      <c r="K381" s="426"/>
    </row>
    <row r="382" spans="1:11" hidden="1" x14ac:dyDescent="0.25">
      <c r="A382" s="439"/>
      <c r="B382" s="427" t="s">
        <v>524</v>
      </c>
      <c r="C382" s="427" t="s">
        <v>532</v>
      </c>
      <c r="D382" s="426"/>
      <c r="E382" s="428" t="s">
        <v>533</v>
      </c>
      <c r="F382" s="429">
        <v>359620000</v>
      </c>
      <c r="G382" s="429">
        <v>0</v>
      </c>
      <c r="H382" s="429">
        <f>[2]Nov!I417</f>
        <v>189967950</v>
      </c>
      <c r="I382" s="429">
        <f t="shared" si="159"/>
        <v>189967950</v>
      </c>
      <c r="J382" s="429">
        <f t="shared" si="160"/>
        <v>169652050</v>
      </c>
      <c r="K382" s="426"/>
    </row>
    <row r="383" spans="1:11" hidden="1" x14ac:dyDescent="0.25">
      <c r="A383" s="450"/>
      <c r="B383" s="451" t="s">
        <v>524</v>
      </c>
      <c r="C383" s="451" t="s">
        <v>534</v>
      </c>
      <c r="D383" s="452"/>
      <c r="E383" s="453" t="s">
        <v>535</v>
      </c>
      <c r="F383" s="454">
        <v>28595480</v>
      </c>
      <c r="G383" s="454">
        <v>0</v>
      </c>
      <c r="H383" s="429">
        <f>[2]Nov!I418</f>
        <v>0</v>
      </c>
      <c r="I383" s="454">
        <f t="shared" si="159"/>
        <v>0</v>
      </c>
      <c r="J383" s="454">
        <f t="shared" si="160"/>
        <v>28595480</v>
      </c>
      <c r="K383" s="452"/>
    </row>
    <row r="384" spans="1:11" hidden="1" x14ac:dyDescent="0.25">
      <c r="A384" s="450"/>
      <c r="B384" s="451"/>
      <c r="C384" s="451"/>
      <c r="D384" s="452"/>
      <c r="E384" s="453"/>
      <c r="F384" s="454"/>
      <c r="G384" s="454"/>
      <c r="H384" s="429"/>
      <c r="I384" s="454"/>
      <c r="J384" s="454"/>
      <c r="K384" s="452"/>
    </row>
    <row r="385" spans="1:11" ht="38.25" hidden="1" x14ac:dyDescent="0.25">
      <c r="A385" s="438"/>
      <c r="B385" s="449" t="s">
        <v>536</v>
      </c>
      <c r="C385" s="438"/>
      <c r="D385" s="418"/>
      <c r="E385" s="484" t="s">
        <v>537</v>
      </c>
      <c r="F385" s="443">
        <f>F386+F392</f>
        <v>0</v>
      </c>
      <c r="G385" s="443">
        <f>G386+G392</f>
        <v>0</v>
      </c>
      <c r="H385" s="443">
        <f>H386+H392</f>
        <v>0</v>
      </c>
      <c r="I385" s="443">
        <f>I386+I392</f>
        <v>0</v>
      </c>
      <c r="J385" s="443">
        <f>J386+J392</f>
        <v>0</v>
      </c>
      <c r="K385" s="418"/>
    </row>
    <row r="386" spans="1:11" hidden="1" x14ac:dyDescent="0.25">
      <c r="A386" s="438"/>
      <c r="B386" s="419" t="s">
        <v>536</v>
      </c>
      <c r="C386" s="419" t="s">
        <v>359</v>
      </c>
      <c r="D386" s="418"/>
      <c r="E386" s="420" t="s">
        <v>67</v>
      </c>
      <c r="F386" s="421">
        <f>F387</f>
        <v>0</v>
      </c>
      <c r="G386" s="421">
        <f>G387</f>
        <v>0</v>
      </c>
      <c r="H386" s="421">
        <f>H387</f>
        <v>0</v>
      </c>
      <c r="I386" s="421">
        <f>I387</f>
        <v>0</v>
      </c>
      <c r="J386" s="421">
        <f>J387</f>
        <v>0</v>
      </c>
      <c r="K386" s="418"/>
    </row>
    <row r="387" spans="1:11" hidden="1" x14ac:dyDescent="0.25">
      <c r="A387" s="440"/>
      <c r="B387" s="423" t="s">
        <v>536</v>
      </c>
      <c r="C387" s="423" t="s">
        <v>360</v>
      </c>
      <c r="D387" s="422"/>
      <c r="E387" s="424" t="s">
        <v>361</v>
      </c>
      <c r="F387" s="425">
        <f>SUM(F388:F391)</f>
        <v>0</v>
      </c>
      <c r="G387" s="425">
        <f>SUM(G388:G391)</f>
        <v>0</v>
      </c>
      <c r="H387" s="425">
        <f>SUM(H388:H391)</f>
        <v>0</v>
      </c>
      <c r="I387" s="425">
        <f>SUM(I388:I391)</f>
        <v>0</v>
      </c>
      <c r="J387" s="425">
        <f>SUM(J388:J391)</f>
        <v>0</v>
      </c>
      <c r="K387" s="422"/>
    </row>
    <row r="388" spans="1:11" hidden="1" x14ac:dyDescent="0.25">
      <c r="A388" s="439"/>
      <c r="B388" s="427" t="s">
        <v>536</v>
      </c>
      <c r="C388" s="427" t="s">
        <v>362</v>
      </c>
      <c r="D388" s="426"/>
      <c r="E388" s="428" t="s">
        <v>363</v>
      </c>
      <c r="F388" s="429">
        <v>0</v>
      </c>
      <c r="G388" s="429">
        <v>0</v>
      </c>
      <c r="H388" s="429">
        <f>[2]Nov!I426</f>
        <v>0</v>
      </c>
      <c r="I388" s="429">
        <f t="shared" ref="I388:I391" si="161">G388+H388</f>
        <v>0</v>
      </c>
      <c r="J388" s="429">
        <f t="shared" ref="J388:J391" si="162">F388-I388</f>
        <v>0</v>
      </c>
      <c r="K388" s="426"/>
    </row>
    <row r="389" spans="1:11" hidden="1" x14ac:dyDescent="0.25">
      <c r="A389" s="439"/>
      <c r="B389" s="427" t="s">
        <v>536</v>
      </c>
      <c r="C389" s="427" t="s">
        <v>366</v>
      </c>
      <c r="D389" s="426"/>
      <c r="E389" s="428" t="s">
        <v>367</v>
      </c>
      <c r="F389" s="429">
        <v>0</v>
      </c>
      <c r="G389" s="429">
        <v>0</v>
      </c>
      <c r="H389" s="429">
        <f>[2]Nov!I427</f>
        <v>0</v>
      </c>
      <c r="I389" s="429">
        <f t="shared" si="161"/>
        <v>0</v>
      </c>
      <c r="J389" s="429">
        <f t="shared" si="162"/>
        <v>0</v>
      </c>
      <c r="K389" s="426"/>
    </row>
    <row r="390" spans="1:11" hidden="1" x14ac:dyDescent="0.25">
      <c r="A390" s="439"/>
      <c r="B390" s="427" t="s">
        <v>536</v>
      </c>
      <c r="C390" s="427" t="s">
        <v>368</v>
      </c>
      <c r="D390" s="426"/>
      <c r="E390" s="428" t="s">
        <v>369</v>
      </c>
      <c r="F390" s="429">
        <v>0</v>
      </c>
      <c r="G390" s="429">
        <v>0</v>
      </c>
      <c r="H390" s="429">
        <f>[2]Nov!I428</f>
        <v>0</v>
      </c>
      <c r="I390" s="429">
        <f t="shared" si="161"/>
        <v>0</v>
      </c>
      <c r="J390" s="429">
        <f t="shared" si="162"/>
        <v>0</v>
      </c>
      <c r="K390" s="426"/>
    </row>
    <row r="391" spans="1:11" hidden="1" x14ac:dyDescent="0.25">
      <c r="A391" s="439"/>
      <c r="B391" s="427" t="s">
        <v>536</v>
      </c>
      <c r="C391" s="427" t="s">
        <v>487</v>
      </c>
      <c r="D391" s="426"/>
      <c r="E391" s="428" t="s">
        <v>488</v>
      </c>
      <c r="F391" s="429">
        <v>0</v>
      </c>
      <c r="G391" s="429">
        <v>0</v>
      </c>
      <c r="H391" s="429">
        <f>[2]Nov!I429</f>
        <v>0</v>
      </c>
      <c r="I391" s="429">
        <f t="shared" si="161"/>
        <v>0</v>
      </c>
      <c r="J391" s="429">
        <f t="shared" si="162"/>
        <v>0</v>
      </c>
      <c r="K391" s="426"/>
    </row>
    <row r="392" spans="1:11" hidden="1" x14ac:dyDescent="0.25">
      <c r="A392" s="438"/>
      <c r="B392" s="419" t="s">
        <v>536</v>
      </c>
      <c r="C392" s="419" t="s">
        <v>404</v>
      </c>
      <c r="D392" s="418"/>
      <c r="E392" s="420" t="s">
        <v>68</v>
      </c>
      <c r="F392" s="421">
        <f>F393</f>
        <v>0</v>
      </c>
      <c r="G392" s="421">
        <f>G393</f>
        <v>0</v>
      </c>
      <c r="H392" s="421">
        <f>H393</f>
        <v>0</v>
      </c>
      <c r="I392" s="421">
        <f>I393</f>
        <v>0</v>
      </c>
      <c r="J392" s="421">
        <f>J393</f>
        <v>0</v>
      </c>
      <c r="K392" s="418"/>
    </row>
    <row r="393" spans="1:11" hidden="1" x14ac:dyDescent="0.25">
      <c r="A393" s="440"/>
      <c r="B393" s="423" t="s">
        <v>536</v>
      </c>
      <c r="C393" s="423" t="s">
        <v>526</v>
      </c>
      <c r="D393" s="422"/>
      <c r="E393" s="424" t="s">
        <v>527</v>
      </c>
      <c r="F393" s="425">
        <f>SUM(F394:F396)</f>
        <v>0</v>
      </c>
      <c r="G393" s="425">
        <f>SUM(G394:G396)</f>
        <v>0</v>
      </c>
      <c r="H393" s="425">
        <f>SUM(H394:H396)</f>
        <v>0</v>
      </c>
      <c r="I393" s="425">
        <f>SUM(I394:I396)</f>
        <v>0</v>
      </c>
      <c r="J393" s="425">
        <f>SUM(J394:J396)</f>
        <v>0</v>
      </c>
      <c r="K393" s="422"/>
    </row>
    <row r="394" spans="1:11" hidden="1" x14ac:dyDescent="0.25">
      <c r="A394" s="439"/>
      <c r="B394" s="427" t="s">
        <v>536</v>
      </c>
      <c r="C394" s="427" t="s">
        <v>528</v>
      </c>
      <c r="D394" s="426"/>
      <c r="E394" s="428" t="s">
        <v>529</v>
      </c>
      <c r="F394" s="429">
        <v>0</v>
      </c>
      <c r="G394" s="429">
        <v>0</v>
      </c>
      <c r="H394" s="429">
        <f>[2]Nov!I432</f>
        <v>0</v>
      </c>
      <c r="I394" s="429">
        <f t="shared" ref="I394:I396" si="163">G394+H394</f>
        <v>0</v>
      </c>
      <c r="J394" s="429">
        <f t="shared" ref="J394:J396" si="164">F394-I394</f>
        <v>0</v>
      </c>
      <c r="K394" s="426"/>
    </row>
    <row r="395" spans="1:11" hidden="1" x14ac:dyDescent="0.25">
      <c r="A395" s="439"/>
      <c r="B395" s="427" t="s">
        <v>536</v>
      </c>
      <c r="C395" s="427" t="s">
        <v>532</v>
      </c>
      <c r="D395" s="426"/>
      <c r="E395" s="428" t="s">
        <v>533</v>
      </c>
      <c r="F395" s="429">
        <v>0</v>
      </c>
      <c r="G395" s="429">
        <v>0</v>
      </c>
      <c r="H395" s="429">
        <f>[2]Nov!I433</f>
        <v>0</v>
      </c>
      <c r="I395" s="429">
        <f t="shared" si="163"/>
        <v>0</v>
      </c>
      <c r="J395" s="429">
        <f t="shared" si="164"/>
        <v>0</v>
      </c>
      <c r="K395" s="426"/>
    </row>
    <row r="396" spans="1:11" hidden="1" x14ac:dyDescent="0.25">
      <c r="A396" s="439"/>
      <c r="B396" s="427" t="s">
        <v>536</v>
      </c>
      <c r="C396" s="427" t="s">
        <v>534</v>
      </c>
      <c r="D396" s="426"/>
      <c r="E396" s="428" t="s">
        <v>535</v>
      </c>
      <c r="F396" s="429">
        <v>0</v>
      </c>
      <c r="G396" s="429">
        <v>0</v>
      </c>
      <c r="H396" s="429">
        <f>[2]Nov!I434</f>
        <v>0</v>
      </c>
      <c r="I396" s="429">
        <f t="shared" si="163"/>
        <v>0</v>
      </c>
      <c r="J396" s="429">
        <f t="shared" si="164"/>
        <v>0</v>
      </c>
      <c r="K396" s="426"/>
    </row>
    <row r="397" spans="1:11" hidden="1" x14ac:dyDescent="0.25">
      <c r="A397" s="439"/>
      <c r="B397" s="427"/>
      <c r="C397" s="427"/>
      <c r="D397" s="426"/>
      <c r="E397" s="428"/>
      <c r="F397" s="429"/>
      <c r="G397" s="429"/>
      <c r="H397" s="429"/>
      <c r="I397" s="429"/>
      <c r="J397" s="429"/>
      <c r="K397" s="426"/>
    </row>
    <row r="398" spans="1:11" ht="38.25" hidden="1" x14ac:dyDescent="0.25">
      <c r="A398" s="438"/>
      <c r="B398" s="449" t="s">
        <v>538</v>
      </c>
      <c r="C398" s="438"/>
      <c r="D398" s="418"/>
      <c r="E398" s="484" t="s">
        <v>539</v>
      </c>
      <c r="F398" s="443">
        <f>F399+F405</f>
        <v>0</v>
      </c>
      <c r="G398" s="443">
        <f>G399+G405</f>
        <v>0</v>
      </c>
      <c r="H398" s="443">
        <f>H399+H405</f>
        <v>0</v>
      </c>
      <c r="I398" s="443">
        <f>I399+I405</f>
        <v>0</v>
      </c>
      <c r="J398" s="443">
        <f>J399+J405</f>
        <v>0</v>
      </c>
      <c r="K398" s="418"/>
    </row>
    <row r="399" spans="1:11" hidden="1" x14ac:dyDescent="0.25">
      <c r="A399" s="438"/>
      <c r="B399" s="419" t="s">
        <v>538</v>
      </c>
      <c r="C399" s="419" t="s">
        <v>359</v>
      </c>
      <c r="D399" s="418"/>
      <c r="E399" s="420" t="s">
        <v>67</v>
      </c>
      <c r="F399" s="421">
        <f>F400</f>
        <v>0</v>
      </c>
      <c r="G399" s="421">
        <f>G400</f>
        <v>0</v>
      </c>
      <c r="H399" s="421">
        <f>H400</f>
        <v>0</v>
      </c>
      <c r="I399" s="421">
        <f>I400</f>
        <v>0</v>
      </c>
      <c r="J399" s="421">
        <f>J400</f>
        <v>0</v>
      </c>
      <c r="K399" s="418"/>
    </row>
    <row r="400" spans="1:11" hidden="1" x14ac:dyDescent="0.25">
      <c r="A400" s="440"/>
      <c r="B400" s="423" t="s">
        <v>538</v>
      </c>
      <c r="C400" s="423" t="s">
        <v>360</v>
      </c>
      <c r="D400" s="422"/>
      <c r="E400" s="424" t="s">
        <v>361</v>
      </c>
      <c r="F400" s="425">
        <f>SUM(F401:F404)</f>
        <v>0</v>
      </c>
      <c r="G400" s="425">
        <f>SUM(G401:G404)</f>
        <v>0</v>
      </c>
      <c r="H400" s="425">
        <f>SUM(H401:H404)</f>
        <v>0</v>
      </c>
      <c r="I400" s="425">
        <f>SUM(I401:I404)</f>
        <v>0</v>
      </c>
      <c r="J400" s="425">
        <f>SUM(J401:J404)</f>
        <v>0</v>
      </c>
      <c r="K400" s="422"/>
    </row>
    <row r="401" spans="1:11" hidden="1" x14ac:dyDescent="0.25">
      <c r="A401" s="439"/>
      <c r="B401" s="427" t="s">
        <v>538</v>
      </c>
      <c r="C401" s="427" t="s">
        <v>362</v>
      </c>
      <c r="D401" s="426"/>
      <c r="E401" s="428" t="s">
        <v>363</v>
      </c>
      <c r="F401" s="429">
        <v>0</v>
      </c>
      <c r="G401" s="429">
        <v>0</v>
      </c>
      <c r="H401" s="429">
        <f>[2]Nov!I439</f>
        <v>0</v>
      </c>
      <c r="I401" s="429">
        <f t="shared" ref="I401:I404" si="165">G401+H401</f>
        <v>0</v>
      </c>
      <c r="J401" s="429">
        <f t="shared" ref="J401:J404" si="166">F401-I401</f>
        <v>0</v>
      </c>
      <c r="K401" s="426"/>
    </row>
    <row r="402" spans="1:11" hidden="1" x14ac:dyDescent="0.25">
      <c r="A402" s="439"/>
      <c r="B402" s="427" t="s">
        <v>538</v>
      </c>
      <c r="C402" s="427" t="s">
        <v>366</v>
      </c>
      <c r="D402" s="426"/>
      <c r="E402" s="428" t="s">
        <v>367</v>
      </c>
      <c r="F402" s="429">
        <v>0</v>
      </c>
      <c r="G402" s="429">
        <v>0</v>
      </c>
      <c r="H402" s="429">
        <f>[2]Nov!I440</f>
        <v>0</v>
      </c>
      <c r="I402" s="429">
        <f t="shared" si="165"/>
        <v>0</v>
      </c>
      <c r="J402" s="429">
        <f t="shared" si="166"/>
        <v>0</v>
      </c>
      <c r="K402" s="426"/>
    </row>
    <row r="403" spans="1:11" hidden="1" x14ac:dyDescent="0.25">
      <c r="A403" s="439"/>
      <c r="B403" s="427" t="s">
        <v>538</v>
      </c>
      <c r="C403" s="427" t="s">
        <v>368</v>
      </c>
      <c r="D403" s="426"/>
      <c r="E403" s="428" t="s">
        <v>369</v>
      </c>
      <c r="F403" s="429">
        <v>0</v>
      </c>
      <c r="G403" s="429">
        <v>0</v>
      </c>
      <c r="H403" s="429">
        <f>[2]Nov!I441</f>
        <v>0</v>
      </c>
      <c r="I403" s="429">
        <f t="shared" si="165"/>
        <v>0</v>
      </c>
      <c r="J403" s="429">
        <f t="shared" si="166"/>
        <v>0</v>
      </c>
      <c r="K403" s="426"/>
    </row>
    <row r="404" spans="1:11" hidden="1" x14ac:dyDescent="0.25">
      <c r="A404" s="439"/>
      <c r="B404" s="427" t="s">
        <v>538</v>
      </c>
      <c r="C404" s="427" t="s">
        <v>487</v>
      </c>
      <c r="D404" s="426"/>
      <c r="E404" s="428" t="s">
        <v>488</v>
      </c>
      <c r="F404" s="429">
        <v>0</v>
      </c>
      <c r="G404" s="429">
        <v>0</v>
      </c>
      <c r="H404" s="429">
        <f>[2]Nov!I442</f>
        <v>0</v>
      </c>
      <c r="I404" s="429">
        <f t="shared" si="165"/>
        <v>0</v>
      </c>
      <c r="J404" s="429">
        <f t="shared" si="166"/>
        <v>0</v>
      </c>
      <c r="K404" s="426"/>
    </row>
    <row r="405" spans="1:11" hidden="1" x14ac:dyDescent="0.25">
      <c r="A405" s="438"/>
      <c r="B405" s="419" t="s">
        <v>538</v>
      </c>
      <c r="C405" s="419" t="s">
        <v>404</v>
      </c>
      <c r="D405" s="418"/>
      <c r="E405" s="420" t="s">
        <v>68</v>
      </c>
      <c r="F405" s="421">
        <f>F406</f>
        <v>0</v>
      </c>
      <c r="G405" s="421">
        <f>G406</f>
        <v>0</v>
      </c>
      <c r="H405" s="421">
        <f>H406</f>
        <v>0</v>
      </c>
      <c r="I405" s="421">
        <f>I406</f>
        <v>0</v>
      </c>
      <c r="J405" s="421">
        <f>J406</f>
        <v>0</v>
      </c>
      <c r="K405" s="418"/>
    </row>
    <row r="406" spans="1:11" hidden="1" x14ac:dyDescent="0.25">
      <c r="A406" s="440"/>
      <c r="B406" s="423" t="s">
        <v>538</v>
      </c>
      <c r="C406" s="423" t="s">
        <v>526</v>
      </c>
      <c r="D406" s="422"/>
      <c r="E406" s="424" t="s">
        <v>527</v>
      </c>
      <c r="F406" s="425">
        <f>SUM(F407:F408)</f>
        <v>0</v>
      </c>
      <c r="G406" s="425">
        <f>SUM(G407:G408)</f>
        <v>0</v>
      </c>
      <c r="H406" s="425">
        <f>SUM(H407:H408)</f>
        <v>0</v>
      </c>
      <c r="I406" s="425">
        <f>SUM(I407:I408)</f>
        <v>0</v>
      </c>
      <c r="J406" s="425">
        <f>SUM(J407:J408)</f>
        <v>0</v>
      </c>
      <c r="K406" s="422"/>
    </row>
    <row r="407" spans="1:11" hidden="1" x14ac:dyDescent="0.25">
      <c r="A407" s="439"/>
      <c r="B407" s="427" t="s">
        <v>538</v>
      </c>
      <c r="C407" s="427" t="s">
        <v>528</v>
      </c>
      <c r="D407" s="426"/>
      <c r="E407" s="428" t="s">
        <v>529</v>
      </c>
      <c r="F407" s="429">
        <v>0</v>
      </c>
      <c r="G407" s="429">
        <v>0</v>
      </c>
      <c r="H407" s="429">
        <f>[2]Nov!I445</f>
        <v>0</v>
      </c>
      <c r="I407" s="429">
        <f t="shared" ref="I407:I408" si="167">G407+H407</f>
        <v>0</v>
      </c>
      <c r="J407" s="429">
        <f t="shared" ref="J407:J408" si="168">F407-I407</f>
        <v>0</v>
      </c>
      <c r="K407" s="426"/>
    </row>
    <row r="408" spans="1:11" hidden="1" x14ac:dyDescent="0.25">
      <c r="A408" s="450"/>
      <c r="B408" s="451" t="s">
        <v>538</v>
      </c>
      <c r="C408" s="451" t="s">
        <v>532</v>
      </c>
      <c r="D408" s="452"/>
      <c r="E408" s="453" t="s">
        <v>533</v>
      </c>
      <c r="F408" s="454">
        <v>0</v>
      </c>
      <c r="G408" s="454">
        <v>0</v>
      </c>
      <c r="H408" s="429">
        <f>[2]Nov!I446</f>
        <v>0</v>
      </c>
      <c r="I408" s="454">
        <f t="shared" si="167"/>
        <v>0</v>
      </c>
      <c r="J408" s="454">
        <f t="shared" si="168"/>
        <v>0</v>
      </c>
      <c r="K408" s="452"/>
    </row>
    <row r="409" spans="1:11" hidden="1" x14ac:dyDescent="0.25">
      <c r="A409" s="439"/>
      <c r="B409" s="427"/>
      <c r="C409" s="427"/>
      <c r="D409" s="426"/>
      <c r="E409" s="428"/>
      <c r="F409" s="429"/>
      <c r="G409" s="429"/>
      <c r="H409" s="429"/>
      <c r="I409" s="429"/>
      <c r="J409" s="429"/>
      <c r="K409" s="426"/>
    </row>
    <row r="410" spans="1:11" ht="25.5" x14ac:dyDescent="0.25">
      <c r="A410" s="455"/>
      <c r="B410" s="460" t="s">
        <v>540</v>
      </c>
      <c r="C410" s="455"/>
      <c r="D410" s="457"/>
      <c r="E410" s="461" t="s">
        <v>541</v>
      </c>
      <c r="F410" s="462">
        <f>F411+F415</f>
        <v>25725000</v>
      </c>
      <c r="G410" s="462">
        <f>G411+G415</f>
        <v>0</v>
      </c>
      <c r="H410" s="462">
        <f>H411+H415</f>
        <v>0</v>
      </c>
      <c r="I410" s="462">
        <f>I411+I415</f>
        <v>0</v>
      </c>
      <c r="J410" s="462">
        <f>J411+J415</f>
        <v>25725000</v>
      </c>
      <c r="K410" s="457"/>
    </row>
    <row r="411" spans="1:11" hidden="1" x14ac:dyDescent="0.25">
      <c r="A411" s="438"/>
      <c r="B411" s="419" t="s">
        <v>540</v>
      </c>
      <c r="C411" s="419" t="s">
        <v>359</v>
      </c>
      <c r="D411" s="418"/>
      <c r="E411" s="420" t="s">
        <v>67</v>
      </c>
      <c r="F411" s="421">
        <f>F412</f>
        <v>244000</v>
      </c>
      <c r="G411" s="421">
        <f>G412</f>
        <v>0</v>
      </c>
      <c r="H411" s="421">
        <f>H412</f>
        <v>0</v>
      </c>
      <c r="I411" s="421">
        <f>I412</f>
        <v>0</v>
      </c>
      <c r="J411" s="421">
        <f>J412</f>
        <v>244000</v>
      </c>
      <c r="K411" s="418"/>
    </row>
    <row r="412" spans="1:11" hidden="1" x14ac:dyDescent="0.25">
      <c r="A412" s="440"/>
      <c r="B412" s="423" t="s">
        <v>540</v>
      </c>
      <c r="C412" s="423" t="s">
        <v>360</v>
      </c>
      <c r="D412" s="422"/>
      <c r="E412" s="424" t="s">
        <v>361</v>
      </c>
      <c r="F412" s="425">
        <f>SUM(F413:F414)</f>
        <v>244000</v>
      </c>
      <c r="G412" s="425">
        <f>SUM(G413:G414)</f>
        <v>0</v>
      </c>
      <c r="H412" s="425">
        <f>SUM(H413:H414)</f>
        <v>0</v>
      </c>
      <c r="I412" s="425">
        <f>SUM(I413:I414)</f>
        <v>0</v>
      </c>
      <c r="J412" s="425">
        <f>SUM(J413:J414)</f>
        <v>244000</v>
      </c>
      <c r="K412" s="422"/>
    </row>
    <row r="413" spans="1:11" hidden="1" x14ac:dyDescent="0.25">
      <c r="A413" s="439"/>
      <c r="B413" s="427" t="s">
        <v>540</v>
      </c>
      <c r="C413" s="427" t="s">
        <v>366</v>
      </c>
      <c r="D413" s="426"/>
      <c r="E413" s="428" t="s">
        <v>367</v>
      </c>
      <c r="F413" s="429">
        <v>69000</v>
      </c>
      <c r="G413" s="429">
        <v>0</v>
      </c>
      <c r="H413" s="429">
        <f>[2]Nov!I451</f>
        <v>0</v>
      </c>
      <c r="I413" s="429">
        <f t="shared" ref="I413:I414" si="169">G413+H413</f>
        <v>0</v>
      </c>
      <c r="J413" s="429">
        <f t="shared" ref="J413:J414" si="170">F413-I413</f>
        <v>69000</v>
      </c>
      <c r="K413" s="426"/>
    </row>
    <row r="414" spans="1:11" hidden="1" x14ac:dyDescent="0.25">
      <c r="A414" s="439"/>
      <c r="B414" s="427" t="s">
        <v>540</v>
      </c>
      <c r="C414" s="427" t="s">
        <v>487</v>
      </c>
      <c r="D414" s="426"/>
      <c r="E414" s="428" t="s">
        <v>488</v>
      </c>
      <c r="F414" s="429">
        <v>175000</v>
      </c>
      <c r="G414" s="429">
        <v>0</v>
      </c>
      <c r="H414" s="429">
        <f>[2]Nov!I452</f>
        <v>0</v>
      </c>
      <c r="I414" s="429">
        <f t="shared" si="169"/>
        <v>0</v>
      </c>
      <c r="J414" s="429">
        <f t="shared" si="170"/>
        <v>175000</v>
      </c>
      <c r="K414" s="426"/>
    </row>
    <row r="415" spans="1:11" hidden="1" x14ac:dyDescent="0.25">
      <c r="A415" s="438"/>
      <c r="B415" s="419" t="s">
        <v>540</v>
      </c>
      <c r="C415" s="419" t="s">
        <v>404</v>
      </c>
      <c r="D415" s="418"/>
      <c r="E415" s="420" t="s">
        <v>68</v>
      </c>
      <c r="F415" s="421">
        <f>F416</f>
        <v>25481000</v>
      </c>
      <c r="G415" s="421">
        <f>G416</f>
        <v>0</v>
      </c>
      <c r="H415" s="421">
        <f>H416</f>
        <v>0</v>
      </c>
      <c r="I415" s="421">
        <f>I416</f>
        <v>0</v>
      </c>
      <c r="J415" s="421">
        <f>J416</f>
        <v>25481000</v>
      </c>
      <c r="K415" s="418"/>
    </row>
    <row r="416" spans="1:11" hidden="1" x14ac:dyDescent="0.25">
      <c r="A416" s="440"/>
      <c r="B416" s="423" t="s">
        <v>540</v>
      </c>
      <c r="C416" s="423" t="s">
        <v>489</v>
      </c>
      <c r="D416" s="422"/>
      <c r="E416" s="424" t="s">
        <v>490</v>
      </c>
      <c r="F416" s="425">
        <f>SUM(F417:F418)</f>
        <v>25481000</v>
      </c>
      <c r="G416" s="425">
        <f>SUM(G417:G418)</f>
        <v>0</v>
      </c>
      <c r="H416" s="425">
        <f>SUM(H417:H418)</f>
        <v>0</v>
      </c>
      <c r="I416" s="425">
        <f>SUM(I417:I418)</f>
        <v>0</v>
      </c>
      <c r="J416" s="425">
        <f>SUM(J417:J418)</f>
        <v>25481000</v>
      </c>
      <c r="K416" s="422"/>
    </row>
    <row r="417" spans="1:11" hidden="1" x14ac:dyDescent="0.25">
      <c r="A417" s="439"/>
      <c r="B417" s="427" t="s">
        <v>540</v>
      </c>
      <c r="C417" s="427" t="s">
        <v>491</v>
      </c>
      <c r="D417" s="426"/>
      <c r="E417" s="428" t="s">
        <v>492</v>
      </c>
      <c r="F417" s="429">
        <v>550000</v>
      </c>
      <c r="G417" s="429">
        <v>0</v>
      </c>
      <c r="H417" s="429">
        <f>[2]Nov!I455</f>
        <v>0</v>
      </c>
      <c r="I417" s="429">
        <f t="shared" ref="I417:I418" si="171">G417+H417</f>
        <v>0</v>
      </c>
      <c r="J417" s="429">
        <f t="shared" ref="J417:J418" si="172">F417-I417</f>
        <v>550000</v>
      </c>
      <c r="K417" s="426"/>
    </row>
    <row r="418" spans="1:11" hidden="1" x14ac:dyDescent="0.25">
      <c r="A418" s="450"/>
      <c r="B418" s="451" t="s">
        <v>540</v>
      </c>
      <c r="C418" s="451" t="s">
        <v>495</v>
      </c>
      <c r="D418" s="452"/>
      <c r="E418" s="453" t="s">
        <v>496</v>
      </c>
      <c r="F418" s="454">
        <v>24931000</v>
      </c>
      <c r="G418" s="454">
        <v>0</v>
      </c>
      <c r="H418" s="429">
        <f>[2]Nov!I456</f>
        <v>0</v>
      </c>
      <c r="I418" s="454">
        <f t="shared" si="171"/>
        <v>0</v>
      </c>
      <c r="J418" s="454">
        <f t="shared" si="172"/>
        <v>24931000</v>
      </c>
      <c r="K418" s="452"/>
    </row>
    <row r="419" spans="1:11" hidden="1" x14ac:dyDescent="0.25">
      <c r="A419" s="450"/>
      <c r="B419" s="451"/>
      <c r="C419" s="451"/>
      <c r="D419" s="452"/>
      <c r="E419" s="453"/>
      <c r="F419" s="454"/>
      <c r="G419" s="454"/>
      <c r="H419" s="429"/>
      <c r="I419" s="454"/>
      <c r="J419" s="454"/>
      <c r="K419" s="452"/>
    </row>
    <row r="420" spans="1:11" x14ac:dyDescent="0.25">
      <c r="A420" s="438"/>
      <c r="B420" s="419" t="s">
        <v>542</v>
      </c>
      <c r="C420" s="438"/>
      <c r="D420" s="418"/>
      <c r="E420" s="420" t="s">
        <v>543</v>
      </c>
      <c r="F420" s="421">
        <f>F421+F426</f>
        <v>31226000</v>
      </c>
      <c r="G420" s="421">
        <f>G421+G426</f>
        <v>18494130</v>
      </c>
      <c r="H420" s="421">
        <f>H421+H426</f>
        <v>9936000</v>
      </c>
      <c r="I420" s="421">
        <f>I421+I426</f>
        <v>28430130</v>
      </c>
      <c r="J420" s="421">
        <f>J421+J426</f>
        <v>2795870</v>
      </c>
      <c r="K420" s="418"/>
    </row>
    <row r="421" spans="1:11" hidden="1" x14ac:dyDescent="0.25">
      <c r="A421" s="438"/>
      <c r="B421" s="419" t="s">
        <v>542</v>
      </c>
      <c r="C421" s="419" t="s">
        <v>359</v>
      </c>
      <c r="D421" s="418"/>
      <c r="E421" s="420" t="s">
        <v>67</v>
      </c>
      <c r="F421" s="421">
        <f>F422</f>
        <v>240000</v>
      </c>
      <c r="G421" s="421">
        <f>G422</f>
        <v>0</v>
      </c>
      <c r="H421" s="421">
        <f>H422</f>
        <v>240000</v>
      </c>
      <c r="I421" s="421">
        <f>I422</f>
        <v>240000</v>
      </c>
      <c r="J421" s="421">
        <f>J422</f>
        <v>0</v>
      </c>
      <c r="K421" s="418"/>
    </row>
    <row r="422" spans="1:11" hidden="1" x14ac:dyDescent="0.25">
      <c r="A422" s="440"/>
      <c r="B422" s="423" t="s">
        <v>542</v>
      </c>
      <c r="C422" s="423" t="s">
        <v>360</v>
      </c>
      <c r="D422" s="422"/>
      <c r="E422" s="424" t="s">
        <v>361</v>
      </c>
      <c r="F422" s="425">
        <f>SUM(F423:F425)</f>
        <v>240000</v>
      </c>
      <c r="G422" s="425">
        <f>SUM(G423:G425)</f>
        <v>0</v>
      </c>
      <c r="H422" s="425">
        <f>SUM(H423:H425)</f>
        <v>240000</v>
      </c>
      <c r="I422" s="425">
        <f>SUM(I423:I425)</f>
        <v>240000</v>
      </c>
      <c r="J422" s="425">
        <f>SUM(J423:J425)</f>
        <v>0</v>
      </c>
      <c r="K422" s="422"/>
    </row>
    <row r="423" spans="1:11" hidden="1" x14ac:dyDescent="0.25">
      <c r="A423" s="439"/>
      <c r="B423" s="427" t="s">
        <v>542</v>
      </c>
      <c r="C423" s="427" t="s">
        <v>362</v>
      </c>
      <c r="D423" s="426"/>
      <c r="E423" s="428" t="s">
        <v>363</v>
      </c>
      <c r="F423" s="429">
        <v>30000</v>
      </c>
      <c r="G423" s="429">
        <v>0</v>
      </c>
      <c r="H423" s="429">
        <f>[2]Nov!I464</f>
        <v>30000</v>
      </c>
      <c r="I423" s="429">
        <f t="shared" ref="I423:I425" si="173">G423+H423</f>
        <v>30000</v>
      </c>
      <c r="J423" s="429">
        <f t="shared" ref="J423:J425" si="174">F423-I423</f>
        <v>0</v>
      </c>
      <c r="K423" s="426"/>
    </row>
    <row r="424" spans="1:11" hidden="1" x14ac:dyDescent="0.25">
      <c r="A424" s="439"/>
      <c r="B424" s="427" t="s">
        <v>542</v>
      </c>
      <c r="C424" s="427" t="s">
        <v>366</v>
      </c>
      <c r="D424" s="426"/>
      <c r="E424" s="428" t="s">
        <v>367</v>
      </c>
      <c r="F424" s="429">
        <v>30000</v>
      </c>
      <c r="G424" s="429">
        <v>0</v>
      </c>
      <c r="H424" s="429">
        <f>[2]Nov!I465</f>
        <v>30000</v>
      </c>
      <c r="I424" s="429">
        <f t="shared" si="173"/>
        <v>30000</v>
      </c>
      <c r="J424" s="429">
        <f t="shared" si="174"/>
        <v>0</v>
      </c>
      <c r="K424" s="426"/>
    </row>
    <row r="425" spans="1:11" hidden="1" x14ac:dyDescent="0.25">
      <c r="A425" s="439"/>
      <c r="B425" s="427" t="s">
        <v>542</v>
      </c>
      <c r="C425" s="427" t="s">
        <v>368</v>
      </c>
      <c r="D425" s="426"/>
      <c r="E425" s="428" t="s">
        <v>369</v>
      </c>
      <c r="F425" s="429">
        <v>180000</v>
      </c>
      <c r="G425" s="429">
        <v>0</v>
      </c>
      <c r="H425" s="429">
        <f>[2]Nov!I466</f>
        <v>180000</v>
      </c>
      <c r="I425" s="429">
        <f t="shared" si="173"/>
        <v>180000</v>
      </c>
      <c r="J425" s="429">
        <f t="shared" si="174"/>
        <v>0</v>
      </c>
      <c r="K425" s="426"/>
    </row>
    <row r="426" spans="1:11" hidden="1" x14ac:dyDescent="0.25">
      <c r="A426" s="438"/>
      <c r="B426" s="419" t="s">
        <v>542</v>
      </c>
      <c r="C426" s="419" t="s">
        <v>404</v>
      </c>
      <c r="D426" s="418"/>
      <c r="E426" s="420" t="s">
        <v>68</v>
      </c>
      <c r="F426" s="421">
        <f>F427</f>
        <v>30986000</v>
      </c>
      <c r="G426" s="421">
        <f>G427</f>
        <v>18494130</v>
      </c>
      <c r="H426" s="421">
        <f>H427</f>
        <v>9696000</v>
      </c>
      <c r="I426" s="421">
        <f>I427</f>
        <v>28190130</v>
      </c>
      <c r="J426" s="421">
        <f>J427</f>
        <v>2795870</v>
      </c>
      <c r="K426" s="418"/>
    </row>
    <row r="427" spans="1:11" hidden="1" x14ac:dyDescent="0.25">
      <c r="A427" s="440"/>
      <c r="B427" s="423" t="s">
        <v>542</v>
      </c>
      <c r="C427" s="423" t="s">
        <v>526</v>
      </c>
      <c r="D427" s="422"/>
      <c r="E427" s="424" t="s">
        <v>527</v>
      </c>
      <c r="F427" s="425">
        <f>SUM(F428:F430)</f>
        <v>30986000</v>
      </c>
      <c r="G427" s="425">
        <f>SUM(G428:G430)</f>
        <v>18494130</v>
      </c>
      <c r="H427" s="425">
        <f>SUM(H428:H430)</f>
        <v>9696000</v>
      </c>
      <c r="I427" s="425">
        <f>SUM(I428:I430)</f>
        <v>28190130</v>
      </c>
      <c r="J427" s="425">
        <f>SUM(J428:J430)</f>
        <v>2795870</v>
      </c>
      <c r="K427" s="422"/>
    </row>
    <row r="428" spans="1:11" hidden="1" x14ac:dyDescent="0.25">
      <c r="A428" s="439"/>
      <c r="B428" s="427" t="s">
        <v>542</v>
      </c>
      <c r="C428" s="427" t="s">
        <v>528</v>
      </c>
      <c r="D428" s="426"/>
      <c r="E428" s="428" t="s">
        <v>529</v>
      </c>
      <c r="F428" s="429">
        <v>550000</v>
      </c>
      <c r="G428" s="429">
        <v>550000</v>
      </c>
      <c r="H428" s="429">
        <f>[2]Nov!I469</f>
        <v>0</v>
      </c>
      <c r="I428" s="429">
        <f t="shared" ref="I428:I430" si="175">G428+H428</f>
        <v>550000</v>
      </c>
      <c r="J428" s="429">
        <f t="shared" ref="J428:J430" si="176">F428-I428</f>
        <v>0</v>
      </c>
      <c r="K428" s="426"/>
    </row>
    <row r="429" spans="1:11" hidden="1" x14ac:dyDescent="0.25">
      <c r="A429" s="439"/>
      <c r="B429" s="427" t="s">
        <v>542</v>
      </c>
      <c r="C429" s="427" t="s">
        <v>530</v>
      </c>
      <c r="D429" s="426"/>
      <c r="E429" s="428" t="s">
        <v>531</v>
      </c>
      <c r="F429" s="429">
        <v>9696000</v>
      </c>
      <c r="G429" s="429">
        <v>0</v>
      </c>
      <c r="H429" s="429">
        <f>[2]Nov!I470</f>
        <v>9696000</v>
      </c>
      <c r="I429" s="429">
        <f t="shared" si="175"/>
        <v>9696000</v>
      </c>
      <c r="J429" s="429">
        <f t="shared" si="176"/>
        <v>0</v>
      </c>
      <c r="K429" s="426"/>
    </row>
    <row r="430" spans="1:11" hidden="1" x14ac:dyDescent="0.25">
      <c r="A430" s="439"/>
      <c r="B430" s="427" t="s">
        <v>542</v>
      </c>
      <c r="C430" s="427" t="s">
        <v>532</v>
      </c>
      <c r="D430" s="426"/>
      <c r="E430" s="428" t="s">
        <v>533</v>
      </c>
      <c r="F430" s="429">
        <v>20740000</v>
      </c>
      <c r="G430" s="429">
        <f>17224130+150000+45000+350000+175000</f>
        <v>17944130</v>
      </c>
      <c r="H430" s="429">
        <f>[2]Nov!I471</f>
        <v>0</v>
      </c>
      <c r="I430" s="429">
        <f t="shared" si="175"/>
        <v>17944130</v>
      </c>
      <c r="J430" s="429">
        <f t="shared" si="176"/>
        <v>2795870</v>
      </c>
      <c r="K430" s="426"/>
    </row>
    <row r="431" spans="1:11" hidden="1" x14ac:dyDescent="0.25">
      <c r="A431" s="439"/>
      <c r="B431" s="427"/>
      <c r="C431" s="427"/>
      <c r="D431" s="426"/>
      <c r="E431" s="428"/>
      <c r="F431" s="429"/>
      <c r="G431" s="429"/>
      <c r="H431" s="429"/>
      <c r="I431" s="429"/>
      <c r="J431" s="429"/>
      <c r="K431" s="426"/>
    </row>
    <row r="432" spans="1:11" x14ac:dyDescent="0.25">
      <c r="A432" s="438"/>
      <c r="B432" s="419" t="s">
        <v>544</v>
      </c>
      <c r="C432" s="438"/>
      <c r="D432" s="420" t="s">
        <v>545</v>
      </c>
      <c r="E432" s="418"/>
      <c r="F432" s="421">
        <f>F433+F444</f>
        <v>118805000</v>
      </c>
      <c r="G432" s="421">
        <f>G433+G444</f>
        <v>102662070</v>
      </c>
      <c r="H432" s="421">
        <f>H433+H444</f>
        <v>0</v>
      </c>
      <c r="I432" s="421">
        <f>I433+I444</f>
        <v>102662070</v>
      </c>
      <c r="J432" s="421">
        <f>J433+J444</f>
        <v>16142930</v>
      </c>
      <c r="K432" s="418"/>
    </row>
    <row r="433" spans="1:11" ht="38.25" x14ac:dyDescent="0.25">
      <c r="A433" s="438"/>
      <c r="B433" s="449" t="s">
        <v>546</v>
      </c>
      <c r="C433" s="438"/>
      <c r="D433" s="418"/>
      <c r="E433" s="484" t="s">
        <v>547</v>
      </c>
      <c r="F433" s="443">
        <f>F434</f>
        <v>118805000</v>
      </c>
      <c r="G433" s="443">
        <f>G434</f>
        <v>102662070</v>
      </c>
      <c r="H433" s="443">
        <f>H434</f>
        <v>0</v>
      </c>
      <c r="I433" s="443">
        <f>I434</f>
        <v>102662070</v>
      </c>
      <c r="J433" s="443">
        <f>J434</f>
        <v>16142930</v>
      </c>
      <c r="K433" s="418"/>
    </row>
    <row r="434" spans="1:11" hidden="1" x14ac:dyDescent="0.25">
      <c r="A434" s="438"/>
      <c r="B434" s="419" t="s">
        <v>546</v>
      </c>
      <c r="C434" s="419" t="s">
        <v>359</v>
      </c>
      <c r="D434" s="418"/>
      <c r="E434" s="420" t="s">
        <v>67</v>
      </c>
      <c r="F434" s="421">
        <f>F435+F439+F441</f>
        <v>118805000</v>
      </c>
      <c r="G434" s="421">
        <f>G435+G439+G441</f>
        <v>102662070</v>
      </c>
      <c r="H434" s="421">
        <f>H435+H439+H441</f>
        <v>0</v>
      </c>
      <c r="I434" s="421">
        <f>I435+I439+I441</f>
        <v>102662070</v>
      </c>
      <c r="J434" s="421">
        <f>J435+J439+J441</f>
        <v>16142930</v>
      </c>
      <c r="K434" s="418"/>
    </row>
    <row r="435" spans="1:11" hidden="1" x14ac:dyDescent="0.25">
      <c r="A435" s="440"/>
      <c r="B435" s="423" t="s">
        <v>546</v>
      </c>
      <c r="C435" s="423" t="s">
        <v>360</v>
      </c>
      <c r="D435" s="422"/>
      <c r="E435" s="424" t="s">
        <v>361</v>
      </c>
      <c r="F435" s="425">
        <f>SUM(F436:F438)</f>
        <v>330000</v>
      </c>
      <c r="G435" s="425">
        <f>SUM(G436:G438)</f>
        <v>330000</v>
      </c>
      <c r="H435" s="425">
        <f>SUM(H436:H438)</f>
        <v>0</v>
      </c>
      <c r="I435" s="425">
        <f>SUM(I436:I438)</f>
        <v>330000</v>
      </c>
      <c r="J435" s="425">
        <f>SUM(J436:J438)</f>
        <v>0</v>
      </c>
      <c r="K435" s="422"/>
    </row>
    <row r="436" spans="1:11" hidden="1" x14ac:dyDescent="0.25">
      <c r="A436" s="439"/>
      <c r="B436" s="427" t="s">
        <v>546</v>
      </c>
      <c r="C436" s="427" t="s">
        <v>362</v>
      </c>
      <c r="D436" s="426"/>
      <c r="E436" s="428" t="s">
        <v>363</v>
      </c>
      <c r="F436" s="429">
        <v>55000</v>
      </c>
      <c r="G436" s="429">
        <v>55000</v>
      </c>
      <c r="H436" s="429">
        <f>[2]Nov!I477</f>
        <v>0</v>
      </c>
      <c r="I436" s="429">
        <f t="shared" ref="I436:I438" si="177">G436+H436</f>
        <v>55000</v>
      </c>
      <c r="J436" s="429">
        <f t="shared" ref="J436:J438" si="178">F436-I436</f>
        <v>0</v>
      </c>
      <c r="K436" s="426"/>
    </row>
    <row r="437" spans="1:11" hidden="1" x14ac:dyDescent="0.25">
      <c r="A437" s="439"/>
      <c r="B437" s="427" t="s">
        <v>546</v>
      </c>
      <c r="C437" s="427" t="s">
        <v>366</v>
      </c>
      <c r="D437" s="426"/>
      <c r="E437" s="428" t="s">
        <v>367</v>
      </c>
      <c r="F437" s="429">
        <v>95000</v>
      </c>
      <c r="G437" s="429">
        <v>95000</v>
      </c>
      <c r="H437" s="429">
        <f>[2]Nov!I478</f>
        <v>0</v>
      </c>
      <c r="I437" s="429">
        <f t="shared" si="177"/>
        <v>95000</v>
      </c>
      <c r="J437" s="429">
        <f t="shared" si="178"/>
        <v>0</v>
      </c>
      <c r="K437" s="426"/>
    </row>
    <row r="438" spans="1:11" hidden="1" x14ac:dyDescent="0.25">
      <c r="A438" s="439"/>
      <c r="B438" s="427" t="s">
        <v>546</v>
      </c>
      <c r="C438" s="427" t="s">
        <v>368</v>
      </c>
      <c r="D438" s="426"/>
      <c r="E438" s="428" t="s">
        <v>369</v>
      </c>
      <c r="F438" s="429">
        <v>180000</v>
      </c>
      <c r="G438" s="429">
        <v>180000</v>
      </c>
      <c r="H438" s="429">
        <f>[2]Nov!I479</f>
        <v>0</v>
      </c>
      <c r="I438" s="429">
        <f t="shared" si="177"/>
        <v>180000</v>
      </c>
      <c r="J438" s="429">
        <f t="shared" si="178"/>
        <v>0</v>
      </c>
      <c r="K438" s="426"/>
    </row>
    <row r="439" spans="1:11" hidden="1" x14ac:dyDescent="0.25">
      <c r="A439" s="440"/>
      <c r="B439" s="423" t="s">
        <v>546</v>
      </c>
      <c r="C439" s="423" t="s">
        <v>370</v>
      </c>
      <c r="D439" s="422"/>
      <c r="E439" s="424" t="s">
        <v>81</v>
      </c>
      <c r="F439" s="425">
        <f>SUM(F440)</f>
        <v>1375000</v>
      </c>
      <c r="G439" s="425">
        <f>SUM(G440)</f>
        <v>1375000</v>
      </c>
      <c r="H439" s="425">
        <f>SUM(H440)</f>
        <v>0</v>
      </c>
      <c r="I439" s="425">
        <f>SUM(I440)</f>
        <v>1375000</v>
      </c>
      <c r="J439" s="425">
        <f>SUM(J440)</f>
        <v>0</v>
      </c>
      <c r="K439" s="422"/>
    </row>
    <row r="440" spans="1:11" hidden="1" x14ac:dyDescent="0.25">
      <c r="A440" s="439"/>
      <c r="B440" s="427" t="s">
        <v>546</v>
      </c>
      <c r="C440" s="427" t="s">
        <v>436</v>
      </c>
      <c r="D440" s="426"/>
      <c r="E440" s="428" t="s">
        <v>437</v>
      </c>
      <c r="F440" s="429">
        <v>1375000</v>
      </c>
      <c r="G440" s="429">
        <v>1375000</v>
      </c>
      <c r="H440" s="429">
        <f>[2]Nov!I481</f>
        <v>0</v>
      </c>
      <c r="I440" s="429">
        <f t="shared" ref="I440" si="179">G440+H440</f>
        <v>1375000</v>
      </c>
      <c r="J440" s="429">
        <f t="shared" ref="J440" si="180">F440-I440</f>
        <v>0</v>
      </c>
      <c r="K440" s="426"/>
    </row>
    <row r="441" spans="1:11" hidden="1" x14ac:dyDescent="0.25">
      <c r="A441" s="440"/>
      <c r="B441" s="423" t="s">
        <v>546</v>
      </c>
      <c r="C441" s="423" t="s">
        <v>460</v>
      </c>
      <c r="D441" s="422"/>
      <c r="E441" s="424" t="s">
        <v>461</v>
      </c>
      <c r="F441" s="425">
        <f>SUM(F442)</f>
        <v>117100000</v>
      </c>
      <c r="G441" s="425">
        <f>SUM(G442)</f>
        <v>100957070</v>
      </c>
      <c r="H441" s="425">
        <f>SUM(H442)</f>
        <v>0</v>
      </c>
      <c r="I441" s="425">
        <f>SUM(I442)</f>
        <v>100957070</v>
      </c>
      <c r="J441" s="425">
        <f>SUM(J442)</f>
        <v>16142930</v>
      </c>
      <c r="K441" s="422"/>
    </row>
    <row r="442" spans="1:11" hidden="1" x14ac:dyDescent="0.25">
      <c r="A442" s="450"/>
      <c r="B442" s="451" t="s">
        <v>546</v>
      </c>
      <c r="C442" s="451" t="s">
        <v>462</v>
      </c>
      <c r="D442" s="452"/>
      <c r="E442" s="453" t="s">
        <v>463</v>
      </c>
      <c r="F442" s="454">
        <v>117100000</v>
      </c>
      <c r="G442" s="429">
        <f>99257070+1700000</f>
        <v>100957070</v>
      </c>
      <c r="H442" s="429">
        <f>[2]Nov!I483</f>
        <v>0</v>
      </c>
      <c r="I442" s="454">
        <f t="shared" ref="I442" si="181">G442+H442</f>
        <v>100957070</v>
      </c>
      <c r="J442" s="454">
        <f t="shared" ref="J442" si="182">F442-I442</f>
        <v>16142930</v>
      </c>
      <c r="K442" s="452"/>
    </row>
    <row r="443" spans="1:11" hidden="1" x14ac:dyDescent="0.25">
      <c r="A443" s="439"/>
      <c r="B443" s="427"/>
      <c r="C443" s="427"/>
      <c r="D443" s="426"/>
      <c r="E443" s="428"/>
      <c r="F443" s="429"/>
      <c r="G443" s="429"/>
      <c r="H443" s="429"/>
      <c r="I443" s="429"/>
      <c r="J443" s="429"/>
      <c r="K443" s="426"/>
    </row>
    <row r="444" spans="1:11" hidden="1" x14ac:dyDescent="0.25">
      <c r="A444" s="455"/>
      <c r="B444" s="456" t="s">
        <v>548</v>
      </c>
      <c r="C444" s="455"/>
      <c r="D444" s="457"/>
      <c r="E444" s="458" t="s">
        <v>549</v>
      </c>
      <c r="F444" s="459">
        <f>F445</f>
        <v>0</v>
      </c>
      <c r="G444" s="459">
        <f>G445</f>
        <v>0</v>
      </c>
      <c r="H444" s="459">
        <f>H445</f>
        <v>0</v>
      </c>
      <c r="I444" s="459">
        <f>I445</f>
        <v>0</v>
      </c>
      <c r="J444" s="459">
        <f>J445</f>
        <v>0</v>
      </c>
      <c r="K444" s="457"/>
    </row>
    <row r="445" spans="1:11" hidden="1" x14ac:dyDescent="0.25">
      <c r="A445" s="438"/>
      <c r="B445" s="419" t="s">
        <v>548</v>
      </c>
      <c r="C445" s="419" t="s">
        <v>359</v>
      </c>
      <c r="D445" s="418"/>
      <c r="E445" s="420" t="s">
        <v>67</v>
      </c>
      <c r="F445" s="421">
        <f>F446+F450+F452</f>
        <v>0</v>
      </c>
      <c r="G445" s="421">
        <f>G446+G450+G452</f>
        <v>0</v>
      </c>
      <c r="H445" s="421">
        <f>H446+H450+H452</f>
        <v>0</v>
      </c>
      <c r="I445" s="421">
        <f>I446+I450+I452</f>
        <v>0</v>
      </c>
      <c r="J445" s="421">
        <f>J446+J450+J452</f>
        <v>0</v>
      </c>
      <c r="K445" s="418"/>
    </row>
    <row r="446" spans="1:11" hidden="1" x14ac:dyDescent="0.25">
      <c r="A446" s="440"/>
      <c r="B446" s="423" t="s">
        <v>548</v>
      </c>
      <c r="C446" s="423" t="s">
        <v>360</v>
      </c>
      <c r="D446" s="422"/>
      <c r="E446" s="424" t="s">
        <v>361</v>
      </c>
      <c r="F446" s="425">
        <f>SUM(F447:F449)</f>
        <v>0</v>
      </c>
      <c r="G446" s="425">
        <f>SUM(G447:G449)</f>
        <v>0</v>
      </c>
      <c r="H446" s="425">
        <f>SUM(H447:H449)</f>
        <v>0</v>
      </c>
      <c r="I446" s="425">
        <f>SUM(I447:I449)</f>
        <v>0</v>
      </c>
      <c r="J446" s="425">
        <f>SUM(J447:J449)</f>
        <v>0</v>
      </c>
      <c r="K446" s="422"/>
    </row>
    <row r="447" spans="1:11" hidden="1" x14ac:dyDescent="0.25">
      <c r="A447" s="439"/>
      <c r="B447" s="427" t="s">
        <v>548</v>
      </c>
      <c r="C447" s="427" t="s">
        <v>362</v>
      </c>
      <c r="D447" s="426"/>
      <c r="E447" s="428" t="s">
        <v>363</v>
      </c>
      <c r="F447" s="429">
        <v>0</v>
      </c>
      <c r="G447" s="429">
        <v>0</v>
      </c>
      <c r="H447" s="429">
        <f>[2]Nov!I488</f>
        <v>0</v>
      </c>
      <c r="I447" s="429">
        <f t="shared" ref="I447:I449" si="183">G447+H447</f>
        <v>0</v>
      </c>
      <c r="J447" s="429">
        <f t="shared" ref="J447:J449" si="184">F447-I447</f>
        <v>0</v>
      </c>
      <c r="K447" s="426"/>
    </row>
    <row r="448" spans="1:11" hidden="1" x14ac:dyDescent="0.25">
      <c r="A448" s="439"/>
      <c r="B448" s="427" t="s">
        <v>548</v>
      </c>
      <c r="C448" s="427" t="s">
        <v>366</v>
      </c>
      <c r="D448" s="426"/>
      <c r="E448" s="428" t="s">
        <v>367</v>
      </c>
      <c r="F448" s="429">
        <v>0</v>
      </c>
      <c r="G448" s="429">
        <v>0</v>
      </c>
      <c r="H448" s="429">
        <f>[2]Nov!I489</f>
        <v>0</v>
      </c>
      <c r="I448" s="429">
        <f t="shared" si="183"/>
        <v>0</v>
      </c>
      <c r="J448" s="429">
        <f t="shared" si="184"/>
        <v>0</v>
      </c>
      <c r="K448" s="426"/>
    </row>
    <row r="449" spans="1:11" hidden="1" x14ac:dyDescent="0.25">
      <c r="A449" s="439"/>
      <c r="B449" s="427" t="s">
        <v>548</v>
      </c>
      <c r="C449" s="427" t="s">
        <v>368</v>
      </c>
      <c r="D449" s="426"/>
      <c r="E449" s="428" t="s">
        <v>369</v>
      </c>
      <c r="F449" s="429">
        <v>0</v>
      </c>
      <c r="G449" s="429">
        <v>0</v>
      </c>
      <c r="H449" s="429">
        <f>[2]Nov!I490</f>
        <v>0</v>
      </c>
      <c r="I449" s="429">
        <f t="shared" si="183"/>
        <v>0</v>
      </c>
      <c r="J449" s="429">
        <f t="shared" si="184"/>
        <v>0</v>
      </c>
      <c r="K449" s="426"/>
    </row>
    <row r="450" spans="1:11" hidden="1" x14ac:dyDescent="0.25">
      <c r="A450" s="440"/>
      <c r="B450" s="423" t="s">
        <v>548</v>
      </c>
      <c r="C450" s="423" t="s">
        <v>370</v>
      </c>
      <c r="D450" s="422"/>
      <c r="E450" s="424" t="s">
        <v>81</v>
      </c>
      <c r="F450" s="425">
        <f>SUM(F451)</f>
        <v>0</v>
      </c>
      <c r="G450" s="425">
        <f>SUM(G451)</f>
        <v>0</v>
      </c>
      <c r="H450" s="425">
        <f>SUM(H451)</f>
        <v>0</v>
      </c>
      <c r="I450" s="425">
        <f>SUM(I451)</f>
        <v>0</v>
      </c>
      <c r="J450" s="425">
        <f>SUM(J451)</f>
        <v>0</v>
      </c>
      <c r="K450" s="422"/>
    </row>
    <row r="451" spans="1:11" hidden="1" x14ac:dyDescent="0.25">
      <c r="A451" s="439"/>
      <c r="B451" s="427" t="s">
        <v>548</v>
      </c>
      <c r="C451" s="427" t="s">
        <v>436</v>
      </c>
      <c r="D451" s="426"/>
      <c r="E451" s="428" t="s">
        <v>437</v>
      </c>
      <c r="F451" s="429">
        <v>0</v>
      </c>
      <c r="G451" s="429">
        <v>0</v>
      </c>
      <c r="H451" s="429">
        <f>[2]Nov!I492</f>
        <v>0</v>
      </c>
      <c r="I451" s="429">
        <f t="shared" ref="I451" si="185">G451+H451</f>
        <v>0</v>
      </c>
      <c r="J451" s="429">
        <f t="shared" ref="J451" si="186">F451-I451</f>
        <v>0</v>
      </c>
      <c r="K451" s="426"/>
    </row>
    <row r="452" spans="1:11" hidden="1" x14ac:dyDescent="0.25">
      <c r="A452" s="440"/>
      <c r="B452" s="423" t="s">
        <v>548</v>
      </c>
      <c r="C452" s="423" t="s">
        <v>460</v>
      </c>
      <c r="D452" s="422"/>
      <c r="E452" s="424" t="s">
        <v>461</v>
      </c>
      <c r="F452" s="425">
        <f>SUM(F453)</f>
        <v>0</v>
      </c>
      <c r="G452" s="425">
        <f>SUM(G453)</f>
        <v>0</v>
      </c>
      <c r="H452" s="425">
        <f>SUM(H453)</f>
        <v>0</v>
      </c>
      <c r="I452" s="425">
        <f>SUM(I453)</f>
        <v>0</v>
      </c>
      <c r="J452" s="425">
        <f>SUM(J453)</f>
        <v>0</v>
      </c>
      <c r="K452" s="422"/>
    </row>
    <row r="453" spans="1:11" hidden="1" x14ac:dyDescent="0.25">
      <c r="A453" s="439"/>
      <c r="B453" s="427" t="s">
        <v>548</v>
      </c>
      <c r="C453" s="427" t="s">
        <v>462</v>
      </c>
      <c r="D453" s="426"/>
      <c r="E453" s="428" t="s">
        <v>463</v>
      </c>
      <c r="F453" s="429">
        <v>0</v>
      </c>
      <c r="G453" s="429">
        <v>0</v>
      </c>
      <c r="H453" s="429">
        <f>[2]Nov!I494</f>
        <v>0</v>
      </c>
      <c r="I453" s="429">
        <f t="shared" ref="I453" si="187">G453+H453</f>
        <v>0</v>
      </c>
      <c r="J453" s="429">
        <f t="shared" ref="J453" si="188">F453-I453</f>
        <v>0</v>
      </c>
      <c r="K453" s="426"/>
    </row>
    <row r="454" spans="1:11" hidden="1" x14ac:dyDescent="0.25">
      <c r="A454" s="439"/>
      <c r="B454" s="427"/>
      <c r="C454" s="427"/>
      <c r="D454" s="426"/>
      <c r="E454" s="428"/>
      <c r="F454" s="429"/>
      <c r="G454" s="429"/>
      <c r="H454" s="429"/>
      <c r="I454" s="429"/>
      <c r="J454" s="429"/>
      <c r="K454" s="426"/>
    </row>
    <row r="455" spans="1:11" x14ac:dyDescent="0.25">
      <c r="A455" s="438"/>
      <c r="B455" s="419" t="s">
        <v>550</v>
      </c>
      <c r="C455" s="438"/>
      <c r="D455" s="420" t="s">
        <v>551</v>
      </c>
      <c r="E455" s="418"/>
      <c r="F455" s="421">
        <f t="shared" ref="F455:J457" si="189">F456</f>
        <v>2250000</v>
      </c>
      <c r="G455" s="421">
        <f t="shared" si="189"/>
        <v>324000</v>
      </c>
      <c r="H455" s="421">
        <f t="shared" si="189"/>
        <v>1500000</v>
      </c>
      <c r="I455" s="421">
        <f t="shared" si="189"/>
        <v>1824000</v>
      </c>
      <c r="J455" s="421">
        <f t="shared" si="189"/>
        <v>426000</v>
      </c>
      <c r="K455" s="418"/>
    </row>
    <row r="456" spans="1:11" x14ac:dyDescent="0.25">
      <c r="A456" s="438"/>
      <c r="B456" s="419" t="s">
        <v>552</v>
      </c>
      <c r="C456" s="438"/>
      <c r="D456" s="418"/>
      <c r="E456" s="420" t="s">
        <v>553</v>
      </c>
      <c r="F456" s="421">
        <f t="shared" si="189"/>
        <v>2250000</v>
      </c>
      <c r="G456" s="421">
        <f t="shared" si="189"/>
        <v>324000</v>
      </c>
      <c r="H456" s="421">
        <f t="shared" si="189"/>
        <v>1500000</v>
      </c>
      <c r="I456" s="421">
        <f t="shared" si="189"/>
        <v>1824000</v>
      </c>
      <c r="J456" s="421">
        <f t="shared" si="189"/>
        <v>426000</v>
      </c>
      <c r="K456" s="418"/>
    </row>
    <row r="457" spans="1:11" hidden="1" x14ac:dyDescent="0.25">
      <c r="A457" s="438"/>
      <c r="B457" s="419" t="s">
        <v>552</v>
      </c>
      <c r="C457" s="419" t="s">
        <v>359</v>
      </c>
      <c r="D457" s="418"/>
      <c r="E457" s="420" t="s">
        <v>67</v>
      </c>
      <c r="F457" s="421">
        <f t="shared" si="189"/>
        <v>2250000</v>
      </c>
      <c r="G457" s="421">
        <f t="shared" si="189"/>
        <v>324000</v>
      </c>
      <c r="H457" s="421">
        <f t="shared" si="189"/>
        <v>1500000</v>
      </c>
      <c r="I457" s="421">
        <f t="shared" si="189"/>
        <v>1824000</v>
      </c>
      <c r="J457" s="421">
        <f t="shared" si="189"/>
        <v>426000</v>
      </c>
      <c r="K457" s="418"/>
    </row>
    <row r="458" spans="1:11" hidden="1" x14ac:dyDescent="0.25">
      <c r="A458" s="440"/>
      <c r="B458" s="423" t="s">
        <v>552</v>
      </c>
      <c r="C458" s="423" t="s">
        <v>360</v>
      </c>
      <c r="D458" s="422"/>
      <c r="E458" s="424" t="s">
        <v>361</v>
      </c>
      <c r="F458" s="425">
        <f>SUM(F459)</f>
        <v>2250000</v>
      </c>
      <c r="G458" s="425">
        <f>SUM(G459)</f>
        <v>324000</v>
      </c>
      <c r="H458" s="425">
        <f>SUM(H459)</f>
        <v>1500000</v>
      </c>
      <c r="I458" s="425">
        <f>SUM(I459)</f>
        <v>1824000</v>
      </c>
      <c r="J458" s="425">
        <f>SUM(J459)</f>
        <v>426000</v>
      </c>
      <c r="K458" s="422"/>
    </row>
    <row r="459" spans="1:11" hidden="1" x14ac:dyDescent="0.25">
      <c r="A459" s="450"/>
      <c r="B459" s="451" t="s">
        <v>552</v>
      </c>
      <c r="C459" s="451" t="s">
        <v>366</v>
      </c>
      <c r="D459" s="452"/>
      <c r="E459" s="453" t="s">
        <v>367</v>
      </c>
      <c r="F459" s="454">
        <v>2250000</v>
      </c>
      <c r="G459" s="454">
        <v>324000</v>
      </c>
      <c r="H459" s="429">
        <f>[2]Nov!I500</f>
        <v>1500000</v>
      </c>
      <c r="I459" s="454">
        <f t="shared" ref="I459" si="190">G459+H459</f>
        <v>1824000</v>
      </c>
      <c r="J459" s="454">
        <f t="shared" ref="J459" si="191">F459-I459</f>
        <v>426000</v>
      </c>
      <c r="K459" s="452"/>
    </row>
    <row r="460" spans="1:11" hidden="1" x14ac:dyDescent="0.25">
      <c r="A460" s="450"/>
      <c r="B460" s="451"/>
      <c r="C460" s="451"/>
      <c r="D460" s="452"/>
      <c r="E460" s="453"/>
      <c r="F460" s="454"/>
      <c r="G460" s="454"/>
      <c r="H460" s="429"/>
      <c r="I460" s="454"/>
      <c r="J460" s="454"/>
      <c r="K460" s="452"/>
    </row>
    <row r="461" spans="1:11" x14ac:dyDescent="0.25">
      <c r="A461" s="438"/>
      <c r="B461" s="419">
        <v>3</v>
      </c>
      <c r="C461" s="438"/>
      <c r="D461" s="420" t="s">
        <v>554</v>
      </c>
      <c r="E461" s="418"/>
      <c r="F461" s="421">
        <f>F462+F470+F491+F507</f>
        <v>27045020</v>
      </c>
      <c r="G461" s="421">
        <f>G462+G470+G491+G507</f>
        <v>4024500</v>
      </c>
      <c r="H461" s="421">
        <f>H462+H470+H491+H507</f>
        <v>15224750</v>
      </c>
      <c r="I461" s="421">
        <f>I462+I470+I491+I507</f>
        <v>19249250</v>
      </c>
      <c r="J461" s="421">
        <f>J462+J470+J491+J507</f>
        <v>7795770</v>
      </c>
      <c r="K461" s="418"/>
    </row>
    <row r="462" spans="1:11" x14ac:dyDescent="0.25">
      <c r="A462" s="438"/>
      <c r="B462" s="419" t="s">
        <v>555</v>
      </c>
      <c r="C462" s="438"/>
      <c r="D462" s="420" t="s">
        <v>556</v>
      </c>
      <c r="E462" s="418"/>
      <c r="F462" s="421">
        <f t="shared" ref="F462:J463" si="192">F463</f>
        <v>2070000</v>
      </c>
      <c r="G462" s="421">
        <f t="shared" si="192"/>
        <v>0</v>
      </c>
      <c r="H462" s="421">
        <f t="shared" si="192"/>
        <v>2070000</v>
      </c>
      <c r="I462" s="421">
        <f t="shared" si="192"/>
        <v>2070000</v>
      </c>
      <c r="J462" s="421">
        <f t="shared" si="192"/>
        <v>0</v>
      </c>
      <c r="K462" s="418"/>
    </row>
    <row r="463" spans="1:11" x14ac:dyDescent="0.25">
      <c r="A463" s="438"/>
      <c r="B463" s="419" t="s">
        <v>557</v>
      </c>
      <c r="C463" s="438"/>
      <c r="D463" s="418"/>
      <c r="E463" s="420" t="s">
        <v>558</v>
      </c>
      <c r="F463" s="421">
        <f t="shared" si="192"/>
        <v>2070000</v>
      </c>
      <c r="G463" s="421">
        <f t="shared" si="192"/>
        <v>0</v>
      </c>
      <c r="H463" s="421">
        <f t="shared" si="192"/>
        <v>2070000</v>
      </c>
      <c r="I463" s="421">
        <f t="shared" si="192"/>
        <v>2070000</v>
      </c>
      <c r="J463" s="421">
        <f t="shared" si="192"/>
        <v>0</v>
      </c>
      <c r="K463" s="418"/>
    </row>
    <row r="464" spans="1:11" hidden="1" x14ac:dyDescent="0.25">
      <c r="A464" s="438"/>
      <c r="B464" s="419" t="s">
        <v>557</v>
      </c>
      <c r="C464" s="419" t="s">
        <v>359</v>
      </c>
      <c r="D464" s="418"/>
      <c r="E464" s="420" t="s">
        <v>67</v>
      </c>
      <c r="F464" s="421">
        <f>F465+F467</f>
        <v>2070000</v>
      </c>
      <c r="G464" s="421">
        <f>G465+G467</f>
        <v>0</v>
      </c>
      <c r="H464" s="421">
        <f>H465+H467</f>
        <v>2070000</v>
      </c>
      <c r="I464" s="421">
        <f>I465+I467</f>
        <v>2070000</v>
      </c>
      <c r="J464" s="421">
        <f>J465+J467</f>
        <v>0</v>
      </c>
      <c r="K464" s="418"/>
    </row>
    <row r="465" spans="1:11" hidden="1" x14ac:dyDescent="0.25">
      <c r="A465" s="440"/>
      <c r="B465" s="423" t="s">
        <v>557</v>
      </c>
      <c r="C465" s="423" t="s">
        <v>360</v>
      </c>
      <c r="D465" s="422"/>
      <c r="E465" s="424" t="s">
        <v>361</v>
      </c>
      <c r="F465" s="425">
        <f>SUM(F466)</f>
        <v>1620000</v>
      </c>
      <c r="G465" s="425">
        <f>SUM(G466)</f>
        <v>0</v>
      </c>
      <c r="H465" s="425">
        <f>SUM(H466)</f>
        <v>1620000</v>
      </c>
      <c r="I465" s="425">
        <f>SUM(I466)</f>
        <v>1620000</v>
      </c>
      <c r="J465" s="425">
        <f>SUM(J466)</f>
        <v>0</v>
      </c>
      <c r="K465" s="422"/>
    </row>
    <row r="466" spans="1:11" hidden="1" x14ac:dyDescent="0.25">
      <c r="A466" s="439"/>
      <c r="B466" s="427" t="s">
        <v>557</v>
      </c>
      <c r="C466" s="427" t="s">
        <v>368</v>
      </c>
      <c r="D466" s="426"/>
      <c r="E466" s="428" t="s">
        <v>369</v>
      </c>
      <c r="F466" s="429">
        <v>1620000</v>
      </c>
      <c r="G466" s="429">
        <v>0</v>
      </c>
      <c r="H466" s="429">
        <f>[2]Nov!I510</f>
        <v>1620000</v>
      </c>
      <c r="I466" s="429">
        <f t="shared" ref="I466" si="193">G466+H466</f>
        <v>1620000</v>
      </c>
      <c r="J466" s="429">
        <f t="shared" ref="J466" si="194">F466-I466</f>
        <v>0</v>
      </c>
      <c r="K466" s="426"/>
    </row>
    <row r="467" spans="1:11" hidden="1" x14ac:dyDescent="0.25">
      <c r="A467" s="440"/>
      <c r="B467" s="423" t="s">
        <v>557</v>
      </c>
      <c r="C467" s="423" t="s">
        <v>370</v>
      </c>
      <c r="D467" s="422"/>
      <c r="E467" s="424" t="s">
        <v>81</v>
      </c>
      <c r="F467" s="425">
        <f>SUM(F468)</f>
        <v>450000</v>
      </c>
      <c r="G467" s="425">
        <f>SUM(G468)</f>
        <v>0</v>
      </c>
      <c r="H467" s="425">
        <f>SUM(H468)</f>
        <v>450000</v>
      </c>
      <c r="I467" s="425">
        <f>SUM(I468)</f>
        <v>450000</v>
      </c>
      <c r="J467" s="425">
        <f>SUM(J468)</f>
        <v>0</v>
      </c>
      <c r="K467" s="422"/>
    </row>
    <row r="468" spans="1:11" hidden="1" x14ac:dyDescent="0.25">
      <c r="A468" s="439"/>
      <c r="B468" s="427" t="s">
        <v>557</v>
      </c>
      <c r="C468" s="427" t="s">
        <v>476</v>
      </c>
      <c r="D468" s="426"/>
      <c r="E468" s="428" t="s">
        <v>477</v>
      </c>
      <c r="F468" s="429">
        <v>450000</v>
      </c>
      <c r="G468" s="429">
        <v>0</v>
      </c>
      <c r="H468" s="429">
        <f>[2]Nov!I512</f>
        <v>450000</v>
      </c>
      <c r="I468" s="429">
        <f t="shared" ref="I468" si="195">G468+H468</f>
        <v>450000</v>
      </c>
      <c r="J468" s="429">
        <f t="shared" ref="J468" si="196">F468-I468</f>
        <v>0</v>
      </c>
      <c r="K468" s="426"/>
    </row>
    <row r="469" spans="1:11" hidden="1" x14ac:dyDescent="0.25">
      <c r="A469" s="439"/>
      <c r="B469" s="427"/>
      <c r="C469" s="427"/>
      <c r="D469" s="426"/>
      <c r="E469" s="428"/>
      <c r="F469" s="429"/>
      <c r="G469" s="429"/>
      <c r="H469" s="429"/>
      <c r="I469" s="429"/>
      <c r="J469" s="429"/>
      <c r="K469" s="426"/>
    </row>
    <row r="470" spans="1:11" x14ac:dyDescent="0.25">
      <c r="A470" s="438"/>
      <c r="B470" s="419" t="s">
        <v>559</v>
      </c>
      <c r="C470" s="438"/>
      <c r="D470" s="420" t="s">
        <v>560</v>
      </c>
      <c r="E470" s="418"/>
      <c r="F470" s="421">
        <f>F471+F482</f>
        <v>6910000</v>
      </c>
      <c r="G470" s="421">
        <f>G471+G482</f>
        <v>0</v>
      </c>
      <c r="H470" s="421">
        <f>H471+H482</f>
        <v>375000</v>
      </c>
      <c r="I470" s="421">
        <f>I471+I482</f>
        <v>375000</v>
      </c>
      <c r="J470" s="421">
        <f>J471+J482</f>
        <v>6535000</v>
      </c>
      <c r="K470" s="418"/>
    </row>
    <row r="471" spans="1:11" ht="37.5" customHeight="1" x14ac:dyDescent="0.25">
      <c r="A471" s="438"/>
      <c r="B471" s="449" t="s">
        <v>561</v>
      </c>
      <c r="C471" s="438"/>
      <c r="D471" s="418"/>
      <c r="E471" s="484" t="s">
        <v>562</v>
      </c>
      <c r="F471" s="443">
        <f>F472</f>
        <v>6910000</v>
      </c>
      <c r="G471" s="443">
        <f>G472</f>
        <v>0</v>
      </c>
      <c r="H471" s="443">
        <f>H472</f>
        <v>375000</v>
      </c>
      <c r="I471" s="443">
        <f>I472</f>
        <v>375000</v>
      </c>
      <c r="J471" s="443">
        <f>J472</f>
        <v>6535000</v>
      </c>
      <c r="K471" s="418"/>
    </row>
    <row r="472" spans="1:11" hidden="1" x14ac:dyDescent="0.25">
      <c r="A472" s="438"/>
      <c r="B472" s="419" t="s">
        <v>561</v>
      </c>
      <c r="C472" s="419" t="s">
        <v>359</v>
      </c>
      <c r="D472" s="418"/>
      <c r="E472" s="420" t="s">
        <v>67</v>
      </c>
      <c r="F472" s="421">
        <f>F473+F476+F478</f>
        <v>6910000</v>
      </c>
      <c r="G472" s="421">
        <f>G473+G476+G478</f>
        <v>0</v>
      </c>
      <c r="H472" s="421">
        <f>H473+H476+H478</f>
        <v>375000</v>
      </c>
      <c r="I472" s="421">
        <f>I473+I476+I478</f>
        <v>375000</v>
      </c>
      <c r="J472" s="421">
        <f>J473+J476+J478</f>
        <v>6535000</v>
      </c>
      <c r="K472" s="418"/>
    </row>
    <row r="473" spans="1:11" hidden="1" x14ac:dyDescent="0.25">
      <c r="A473" s="440"/>
      <c r="B473" s="423" t="s">
        <v>561</v>
      </c>
      <c r="C473" s="423" t="s">
        <v>360</v>
      </c>
      <c r="D473" s="422"/>
      <c r="E473" s="424" t="s">
        <v>361</v>
      </c>
      <c r="F473" s="425">
        <f>SUM(F474:F475)</f>
        <v>4460000</v>
      </c>
      <c r="G473" s="425">
        <f>SUM(G474:G475)</f>
        <v>0</v>
      </c>
      <c r="H473" s="425">
        <f>SUM(H474:H475)</f>
        <v>375000</v>
      </c>
      <c r="I473" s="425">
        <f>SUM(I474:I475)</f>
        <v>375000</v>
      </c>
      <c r="J473" s="425">
        <f>SUM(J474:J475)</f>
        <v>4085000</v>
      </c>
      <c r="K473" s="422"/>
    </row>
    <row r="474" spans="1:11" hidden="1" x14ac:dyDescent="0.25">
      <c r="A474" s="439"/>
      <c r="B474" s="427" t="s">
        <v>561</v>
      </c>
      <c r="C474" s="427" t="s">
        <v>366</v>
      </c>
      <c r="D474" s="426"/>
      <c r="E474" s="428" t="s">
        <v>367</v>
      </c>
      <c r="F474" s="429">
        <v>375000</v>
      </c>
      <c r="G474" s="429">
        <v>0</v>
      </c>
      <c r="H474" s="429">
        <f>[2]Nov!I518</f>
        <v>375000</v>
      </c>
      <c r="I474" s="429">
        <f t="shared" ref="I474:I475" si="197">G474+H474</f>
        <v>375000</v>
      </c>
      <c r="J474" s="429">
        <f t="shared" ref="J474:J475" si="198">F474-I474</f>
        <v>0</v>
      </c>
      <c r="K474" s="426"/>
    </row>
    <row r="475" spans="1:11" hidden="1" x14ac:dyDescent="0.25">
      <c r="A475" s="439"/>
      <c r="B475" s="427" t="s">
        <v>561</v>
      </c>
      <c r="C475" s="427" t="s">
        <v>368</v>
      </c>
      <c r="D475" s="426"/>
      <c r="E475" s="428" t="s">
        <v>369</v>
      </c>
      <c r="F475" s="429">
        <v>4085000</v>
      </c>
      <c r="G475" s="429">
        <v>0</v>
      </c>
      <c r="H475" s="429">
        <f>[2]Nov!I519</f>
        <v>0</v>
      </c>
      <c r="I475" s="429">
        <f t="shared" si="197"/>
        <v>0</v>
      </c>
      <c r="J475" s="429">
        <f t="shared" si="198"/>
        <v>4085000</v>
      </c>
      <c r="K475" s="426"/>
    </row>
    <row r="476" spans="1:11" hidden="1" x14ac:dyDescent="0.25">
      <c r="A476" s="440"/>
      <c r="B476" s="423" t="s">
        <v>561</v>
      </c>
      <c r="C476" s="423" t="s">
        <v>370</v>
      </c>
      <c r="D476" s="422"/>
      <c r="E476" s="424" t="s">
        <v>81</v>
      </c>
      <c r="F476" s="425">
        <f>SUM(F477)</f>
        <v>1400000</v>
      </c>
      <c r="G476" s="425">
        <f>SUM(G477)</f>
        <v>0</v>
      </c>
      <c r="H476" s="425">
        <f>SUM(H477)</f>
        <v>0</v>
      </c>
      <c r="I476" s="425">
        <f>SUM(I477)</f>
        <v>0</v>
      </c>
      <c r="J476" s="425">
        <f>SUM(J477)</f>
        <v>1400000</v>
      </c>
      <c r="K476" s="422"/>
    </row>
    <row r="477" spans="1:11" hidden="1" x14ac:dyDescent="0.25">
      <c r="A477" s="439"/>
      <c r="B477" s="427" t="s">
        <v>561</v>
      </c>
      <c r="C477" s="427" t="s">
        <v>478</v>
      </c>
      <c r="D477" s="426"/>
      <c r="E477" s="428" t="s">
        <v>479</v>
      </c>
      <c r="F477" s="429">
        <v>1400000</v>
      </c>
      <c r="G477" s="429">
        <v>0</v>
      </c>
      <c r="H477" s="429">
        <f>[2]Nov!I521</f>
        <v>0</v>
      </c>
      <c r="I477" s="429">
        <f t="shared" ref="I477" si="199">G477+H477</f>
        <v>0</v>
      </c>
      <c r="J477" s="429">
        <f t="shared" ref="J477" si="200">F477-I477</f>
        <v>1400000</v>
      </c>
      <c r="K477" s="426"/>
    </row>
    <row r="478" spans="1:11" hidden="1" x14ac:dyDescent="0.25">
      <c r="A478" s="440"/>
      <c r="B478" s="423" t="s">
        <v>561</v>
      </c>
      <c r="C478" s="423" t="s">
        <v>455</v>
      </c>
      <c r="D478" s="422"/>
      <c r="E478" s="424" t="s">
        <v>83</v>
      </c>
      <c r="F478" s="425">
        <f>SUM(F479:F480)</f>
        <v>1050000</v>
      </c>
      <c r="G478" s="425">
        <f>SUM(G479:G480)</f>
        <v>0</v>
      </c>
      <c r="H478" s="425">
        <f>SUM(H479:H480)</f>
        <v>0</v>
      </c>
      <c r="I478" s="425">
        <f>SUM(I479:I480)</f>
        <v>0</v>
      </c>
      <c r="J478" s="425">
        <f>SUM(J479:J480)</f>
        <v>1050000</v>
      </c>
      <c r="K478" s="422"/>
    </row>
    <row r="479" spans="1:11" hidden="1" x14ac:dyDescent="0.25">
      <c r="A479" s="439"/>
      <c r="B479" s="427" t="s">
        <v>561</v>
      </c>
      <c r="C479" s="427" t="s">
        <v>467</v>
      </c>
      <c r="D479" s="426"/>
      <c r="E479" s="428" t="s">
        <v>468</v>
      </c>
      <c r="F479" s="429">
        <v>750000</v>
      </c>
      <c r="G479" s="429">
        <v>0</v>
      </c>
      <c r="H479" s="429">
        <f>[2]Nov!I523</f>
        <v>0</v>
      </c>
      <c r="I479" s="429">
        <f t="shared" ref="I479:I480" si="201">G479+H479</f>
        <v>0</v>
      </c>
      <c r="J479" s="429">
        <f t="shared" ref="J479:J480" si="202">F479-I479</f>
        <v>750000</v>
      </c>
      <c r="K479" s="426"/>
    </row>
    <row r="480" spans="1:11" hidden="1" x14ac:dyDescent="0.25">
      <c r="A480" s="450"/>
      <c r="B480" s="451" t="s">
        <v>561</v>
      </c>
      <c r="C480" s="451" t="s">
        <v>563</v>
      </c>
      <c r="D480" s="452"/>
      <c r="E480" s="453" t="s">
        <v>564</v>
      </c>
      <c r="F480" s="454">
        <v>300000</v>
      </c>
      <c r="G480" s="454">
        <v>0</v>
      </c>
      <c r="H480" s="429">
        <f>[2]Nov!I524</f>
        <v>0</v>
      </c>
      <c r="I480" s="454">
        <f t="shared" si="201"/>
        <v>0</v>
      </c>
      <c r="J480" s="454">
        <f t="shared" si="202"/>
        <v>300000</v>
      </c>
      <c r="K480" s="452"/>
    </row>
    <row r="481" spans="1:11" hidden="1" x14ac:dyDescent="0.25">
      <c r="A481" s="439"/>
      <c r="B481" s="427"/>
      <c r="C481" s="427"/>
      <c r="D481" s="426"/>
      <c r="E481" s="428"/>
      <c r="F481" s="429"/>
      <c r="G481" s="429"/>
      <c r="H481" s="429"/>
      <c r="I481" s="429"/>
      <c r="J481" s="429"/>
      <c r="K481" s="426"/>
    </row>
    <row r="482" spans="1:11" hidden="1" x14ac:dyDescent="0.25">
      <c r="A482" s="455"/>
      <c r="B482" s="456" t="s">
        <v>565</v>
      </c>
      <c r="C482" s="455"/>
      <c r="D482" s="457"/>
      <c r="E482" s="458" t="s">
        <v>566</v>
      </c>
      <c r="F482" s="459">
        <f>F483</f>
        <v>0</v>
      </c>
      <c r="G482" s="459">
        <f>G483</f>
        <v>0</v>
      </c>
      <c r="H482" s="459">
        <f>H483</f>
        <v>0</v>
      </c>
      <c r="I482" s="459">
        <f>I483</f>
        <v>0</v>
      </c>
      <c r="J482" s="459">
        <f>J483</f>
        <v>0</v>
      </c>
      <c r="K482" s="457"/>
    </row>
    <row r="483" spans="1:11" hidden="1" x14ac:dyDescent="0.25">
      <c r="A483" s="438"/>
      <c r="B483" s="419" t="s">
        <v>565</v>
      </c>
      <c r="C483" s="419" t="s">
        <v>359</v>
      </c>
      <c r="D483" s="418"/>
      <c r="E483" s="420" t="s">
        <v>67</v>
      </c>
      <c r="F483" s="421">
        <f>F484+F486+F488</f>
        <v>0</v>
      </c>
      <c r="G483" s="421">
        <f>G484+G486+G488</f>
        <v>0</v>
      </c>
      <c r="H483" s="421">
        <f>H484+H486+H488</f>
        <v>0</v>
      </c>
      <c r="I483" s="421">
        <f>I484+I486+I488</f>
        <v>0</v>
      </c>
      <c r="J483" s="421">
        <f>J484+J486+J488</f>
        <v>0</v>
      </c>
      <c r="K483" s="418"/>
    </row>
    <row r="484" spans="1:11" hidden="1" x14ac:dyDescent="0.25">
      <c r="A484" s="440"/>
      <c r="B484" s="423" t="s">
        <v>565</v>
      </c>
      <c r="C484" s="423" t="s">
        <v>360</v>
      </c>
      <c r="D484" s="422"/>
      <c r="E484" s="424" t="s">
        <v>361</v>
      </c>
      <c r="F484" s="425">
        <f>SUM(F485)</f>
        <v>0</v>
      </c>
      <c r="G484" s="425">
        <f>SUM(G485)</f>
        <v>0</v>
      </c>
      <c r="H484" s="425">
        <f>SUM(H485)</f>
        <v>0</v>
      </c>
      <c r="I484" s="425">
        <f>SUM(I485)</f>
        <v>0</v>
      </c>
      <c r="J484" s="425">
        <f>SUM(J485)</f>
        <v>0</v>
      </c>
      <c r="K484" s="422"/>
    </row>
    <row r="485" spans="1:11" hidden="1" x14ac:dyDescent="0.25">
      <c r="A485" s="439"/>
      <c r="B485" s="427" t="s">
        <v>565</v>
      </c>
      <c r="C485" s="427" t="s">
        <v>368</v>
      </c>
      <c r="D485" s="426"/>
      <c r="E485" s="428" t="s">
        <v>369</v>
      </c>
      <c r="F485" s="429">
        <v>0</v>
      </c>
      <c r="G485" s="429">
        <v>0</v>
      </c>
      <c r="H485" s="429">
        <f>[2]Nov!I529</f>
        <v>0</v>
      </c>
      <c r="I485" s="429">
        <f t="shared" ref="I485" si="203">G485+H485</f>
        <v>0</v>
      </c>
      <c r="J485" s="429">
        <f t="shared" ref="J485" si="204">F485-I485</f>
        <v>0</v>
      </c>
      <c r="K485" s="426"/>
    </row>
    <row r="486" spans="1:11" hidden="1" x14ac:dyDescent="0.25">
      <c r="A486" s="440"/>
      <c r="B486" s="423" t="s">
        <v>565</v>
      </c>
      <c r="C486" s="423" t="s">
        <v>455</v>
      </c>
      <c r="D486" s="422"/>
      <c r="E486" s="424" t="s">
        <v>83</v>
      </c>
      <c r="F486" s="425">
        <f>SUM(F487)</f>
        <v>0</v>
      </c>
      <c r="G486" s="425">
        <f>SUM(G487)</f>
        <v>0</v>
      </c>
      <c r="H486" s="425">
        <f>SUM(H487)</f>
        <v>0</v>
      </c>
      <c r="I486" s="425">
        <f>SUM(I487)</f>
        <v>0</v>
      </c>
      <c r="J486" s="425">
        <f>SUM(J487)</f>
        <v>0</v>
      </c>
      <c r="K486" s="422"/>
    </row>
    <row r="487" spans="1:11" hidden="1" x14ac:dyDescent="0.25">
      <c r="A487" s="439"/>
      <c r="B487" s="427" t="s">
        <v>565</v>
      </c>
      <c r="C487" s="427" t="s">
        <v>467</v>
      </c>
      <c r="D487" s="426"/>
      <c r="E487" s="428" t="s">
        <v>468</v>
      </c>
      <c r="F487" s="429">
        <v>0</v>
      </c>
      <c r="G487" s="429">
        <v>0</v>
      </c>
      <c r="H487" s="429">
        <f>[2]Nov!I531</f>
        <v>0</v>
      </c>
      <c r="I487" s="429">
        <f t="shared" ref="I487" si="205">G487+H487</f>
        <v>0</v>
      </c>
      <c r="J487" s="429">
        <f t="shared" ref="J487" si="206">F487-I487</f>
        <v>0</v>
      </c>
      <c r="K487" s="426"/>
    </row>
    <row r="488" spans="1:11" hidden="1" x14ac:dyDescent="0.25">
      <c r="A488" s="440"/>
      <c r="B488" s="423" t="s">
        <v>565</v>
      </c>
      <c r="C488" s="423" t="s">
        <v>460</v>
      </c>
      <c r="D488" s="422"/>
      <c r="E488" s="424" t="s">
        <v>461</v>
      </c>
      <c r="F488" s="425">
        <f>SUM(F489)</f>
        <v>0</v>
      </c>
      <c r="G488" s="425">
        <f>SUM(G489)</f>
        <v>0</v>
      </c>
      <c r="H488" s="425">
        <f>SUM(H489)</f>
        <v>0</v>
      </c>
      <c r="I488" s="425">
        <f>SUM(I489)</f>
        <v>0</v>
      </c>
      <c r="J488" s="425">
        <f>SUM(J489)</f>
        <v>0</v>
      </c>
      <c r="K488" s="422"/>
    </row>
    <row r="489" spans="1:11" hidden="1" x14ac:dyDescent="0.25">
      <c r="A489" s="439"/>
      <c r="B489" s="427" t="s">
        <v>565</v>
      </c>
      <c r="C489" s="427" t="s">
        <v>462</v>
      </c>
      <c r="D489" s="426"/>
      <c r="E489" s="428" t="s">
        <v>463</v>
      </c>
      <c r="F489" s="429">
        <v>0</v>
      </c>
      <c r="G489" s="429">
        <v>0</v>
      </c>
      <c r="H489" s="429">
        <f>[2]Nov!I533</f>
        <v>0</v>
      </c>
      <c r="I489" s="429">
        <f t="shared" ref="I489" si="207">G489+H489</f>
        <v>0</v>
      </c>
      <c r="J489" s="429">
        <f t="shared" ref="J489" si="208">F489-I489</f>
        <v>0</v>
      </c>
      <c r="K489" s="426"/>
    </row>
    <row r="490" spans="1:11" hidden="1" x14ac:dyDescent="0.25">
      <c r="A490" s="439"/>
      <c r="B490" s="427"/>
      <c r="C490" s="427"/>
      <c r="D490" s="426"/>
      <c r="E490" s="428"/>
      <c r="F490" s="429"/>
      <c r="G490" s="429"/>
      <c r="H490" s="429"/>
      <c r="I490" s="429"/>
      <c r="J490" s="429"/>
      <c r="K490" s="426"/>
    </row>
    <row r="491" spans="1:11" x14ac:dyDescent="0.25">
      <c r="A491" s="438"/>
      <c r="B491" s="419" t="s">
        <v>567</v>
      </c>
      <c r="C491" s="438"/>
      <c r="D491" s="420" t="s">
        <v>568</v>
      </c>
      <c r="E491" s="418"/>
      <c r="F491" s="421">
        <f>F492+F500</f>
        <v>2792500</v>
      </c>
      <c r="G491" s="421">
        <f>G492+G500</f>
        <v>295000</v>
      </c>
      <c r="H491" s="421">
        <f>H492+H500</f>
        <v>2468250</v>
      </c>
      <c r="I491" s="421">
        <f>I492+I500</f>
        <v>2763250</v>
      </c>
      <c r="J491" s="421">
        <f>J492+J500</f>
        <v>29250</v>
      </c>
      <c r="K491" s="418"/>
    </row>
    <row r="492" spans="1:11" x14ac:dyDescent="0.25">
      <c r="A492" s="438"/>
      <c r="B492" s="419" t="s">
        <v>569</v>
      </c>
      <c r="C492" s="438"/>
      <c r="D492" s="418"/>
      <c r="E492" s="420" t="s">
        <v>570</v>
      </c>
      <c r="F492" s="421">
        <f>F493</f>
        <v>1320000</v>
      </c>
      <c r="G492" s="421">
        <f>G493</f>
        <v>0</v>
      </c>
      <c r="H492" s="421">
        <f>H493</f>
        <v>1320000</v>
      </c>
      <c r="I492" s="421">
        <f>I493</f>
        <v>1320000</v>
      </c>
      <c r="J492" s="421">
        <f>J493</f>
        <v>0</v>
      </c>
      <c r="K492" s="418"/>
    </row>
    <row r="493" spans="1:11" hidden="1" x14ac:dyDescent="0.25">
      <c r="A493" s="438"/>
      <c r="B493" s="419" t="s">
        <v>569</v>
      </c>
      <c r="C493" s="419" t="s">
        <v>359</v>
      </c>
      <c r="D493" s="418"/>
      <c r="E493" s="420" t="s">
        <v>67</v>
      </c>
      <c r="F493" s="421">
        <f>F494+F497</f>
        <v>1320000</v>
      </c>
      <c r="G493" s="421">
        <f>G494+G497</f>
        <v>0</v>
      </c>
      <c r="H493" s="421">
        <f>H494+H497</f>
        <v>1320000</v>
      </c>
      <c r="I493" s="421">
        <f>I494+I497</f>
        <v>1320000</v>
      </c>
      <c r="J493" s="421">
        <f>J494+J497</f>
        <v>0</v>
      </c>
      <c r="K493" s="418"/>
    </row>
    <row r="494" spans="1:11" hidden="1" x14ac:dyDescent="0.25">
      <c r="A494" s="440"/>
      <c r="B494" s="423" t="s">
        <v>569</v>
      </c>
      <c r="C494" s="423" t="s">
        <v>360</v>
      </c>
      <c r="D494" s="422"/>
      <c r="E494" s="424" t="s">
        <v>361</v>
      </c>
      <c r="F494" s="425">
        <f>SUM(F495:F496)</f>
        <v>870000</v>
      </c>
      <c r="G494" s="425">
        <f>SUM(G495:G496)</f>
        <v>0</v>
      </c>
      <c r="H494" s="425">
        <f>SUM(H495:H496)</f>
        <v>870000</v>
      </c>
      <c r="I494" s="425">
        <f>SUM(I495:I496)</f>
        <v>870000</v>
      </c>
      <c r="J494" s="425">
        <f>SUM(J495:J496)</f>
        <v>0</v>
      </c>
      <c r="K494" s="422"/>
    </row>
    <row r="495" spans="1:11" hidden="1" x14ac:dyDescent="0.25">
      <c r="A495" s="439"/>
      <c r="B495" s="427" t="s">
        <v>569</v>
      </c>
      <c r="C495" s="427" t="s">
        <v>366</v>
      </c>
      <c r="D495" s="426"/>
      <c r="E495" s="428" t="s">
        <v>367</v>
      </c>
      <c r="F495" s="429">
        <v>50000</v>
      </c>
      <c r="G495" s="429">
        <v>0</v>
      </c>
      <c r="H495" s="429">
        <f>[2]Nov!I539</f>
        <v>50000</v>
      </c>
      <c r="I495" s="429">
        <f t="shared" ref="I495:I496" si="209">G495+H495</f>
        <v>50000</v>
      </c>
      <c r="J495" s="429">
        <f t="shared" ref="J495:J496" si="210">F495-I495</f>
        <v>0</v>
      </c>
      <c r="K495" s="426"/>
    </row>
    <row r="496" spans="1:11" hidden="1" x14ac:dyDescent="0.25">
      <c r="A496" s="439"/>
      <c r="B496" s="427" t="s">
        <v>569</v>
      </c>
      <c r="C496" s="427" t="s">
        <v>368</v>
      </c>
      <c r="D496" s="426"/>
      <c r="E496" s="428" t="s">
        <v>369</v>
      </c>
      <c r="F496" s="429">
        <v>820000</v>
      </c>
      <c r="G496" s="429">
        <v>0</v>
      </c>
      <c r="H496" s="429">
        <f>[2]Nov!I540</f>
        <v>820000</v>
      </c>
      <c r="I496" s="429">
        <f t="shared" si="209"/>
        <v>820000</v>
      </c>
      <c r="J496" s="429">
        <f t="shared" si="210"/>
        <v>0</v>
      </c>
      <c r="K496" s="426"/>
    </row>
    <row r="497" spans="1:11" hidden="1" x14ac:dyDescent="0.25">
      <c r="A497" s="440"/>
      <c r="B497" s="423" t="s">
        <v>569</v>
      </c>
      <c r="C497" s="423" t="s">
        <v>370</v>
      </c>
      <c r="D497" s="422"/>
      <c r="E497" s="424" t="s">
        <v>81</v>
      </c>
      <c r="F497" s="425">
        <f>SUM(F498)</f>
        <v>450000</v>
      </c>
      <c r="G497" s="425">
        <f>SUM(G498)</f>
        <v>0</v>
      </c>
      <c r="H497" s="425">
        <f>SUM(H498)</f>
        <v>450000</v>
      </c>
      <c r="I497" s="425">
        <f>SUM(I498)</f>
        <v>450000</v>
      </c>
      <c r="J497" s="425">
        <f>SUM(J498)</f>
        <v>0</v>
      </c>
      <c r="K497" s="422"/>
    </row>
    <row r="498" spans="1:11" hidden="1" x14ac:dyDescent="0.25">
      <c r="A498" s="439"/>
      <c r="B498" s="427" t="s">
        <v>569</v>
      </c>
      <c r="C498" s="427" t="s">
        <v>476</v>
      </c>
      <c r="D498" s="426"/>
      <c r="E498" s="428" t="s">
        <v>477</v>
      </c>
      <c r="F498" s="429">
        <v>450000</v>
      </c>
      <c r="G498" s="429">
        <v>0</v>
      </c>
      <c r="H498" s="429">
        <f>[2]Nov!I542</f>
        <v>450000</v>
      </c>
      <c r="I498" s="429">
        <f t="shared" ref="I498" si="211">G498+H498</f>
        <v>450000</v>
      </c>
      <c r="J498" s="429">
        <f t="shared" ref="J498" si="212">F498-I498</f>
        <v>0</v>
      </c>
      <c r="K498" s="426"/>
    </row>
    <row r="499" spans="1:11" hidden="1" x14ac:dyDescent="0.25">
      <c r="A499" s="439"/>
      <c r="B499" s="427"/>
      <c r="C499" s="427"/>
      <c r="D499" s="426"/>
      <c r="E499" s="428"/>
      <c r="F499" s="429"/>
      <c r="G499" s="429"/>
      <c r="H499" s="429"/>
      <c r="I499" s="429"/>
      <c r="J499" s="429"/>
      <c r="K499" s="426"/>
    </row>
    <row r="500" spans="1:11" x14ac:dyDescent="0.25">
      <c r="A500" s="438"/>
      <c r="B500" s="419" t="s">
        <v>571</v>
      </c>
      <c r="C500" s="438"/>
      <c r="D500" s="418"/>
      <c r="E500" s="420" t="s">
        <v>572</v>
      </c>
      <c r="F500" s="421">
        <f t="shared" ref="F500:J501" si="213">F501</f>
        <v>1472500</v>
      </c>
      <c r="G500" s="421">
        <f t="shared" si="213"/>
        <v>295000</v>
      </c>
      <c r="H500" s="421">
        <f t="shared" si="213"/>
        <v>1148250</v>
      </c>
      <c r="I500" s="421">
        <f t="shared" si="213"/>
        <v>1443250</v>
      </c>
      <c r="J500" s="421">
        <f t="shared" si="213"/>
        <v>29250</v>
      </c>
      <c r="K500" s="418"/>
    </row>
    <row r="501" spans="1:11" hidden="1" x14ac:dyDescent="0.25">
      <c r="A501" s="438"/>
      <c r="B501" s="419" t="s">
        <v>571</v>
      </c>
      <c r="C501" s="419" t="s">
        <v>359</v>
      </c>
      <c r="D501" s="418"/>
      <c r="E501" s="420" t="s">
        <v>67</v>
      </c>
      <c r="F501" s="421">
        <f t="shared" si="213"/>
        <v>1472500</v>
      </c>
      <c r="G501" s="421">
        <f t="shared" si="213"/>
        <v>295000</v>
      </c>
      <c r="H501" s="421">
        <f t="shared" si="213"/>
        <v>1148250</v>
      </c>
      <c r="I501" s="421">
        <f t="shared" si="213"/>
        <v>1443250</v>
      </c>
      <c r="J501" s="421">
        <f t="shared" si="213"/>
        <v>29250</v>
      </c>
      <c r="K501" s="418"/>
    </row>
    <row r="502" spans="1:11" hidden="1" x14ac:dyDescent="0.25">
      <c r="A502" s="440"/>
      <c r="B502" s="423" t="s">
        <v>571</v>
      </c>
      <c r="C502" s="423" t="s">
        <v>360</v>
      </c>
      <c r="D502" s="422"/>
      <c r="E502" s="424" t="s">
        <v>361</v>
      </c>
      <c r="F502" s="425">
        <f>SUM(F503:F505)</f>
        <v>1472500</v>
      </c>
      <c r="G502" s="425">
        <f>SUM(G503:G505)</f>
        <v>295000</v>
      </c>
      <c r="H502" s="425">
        <f>SUM(H503:H505)</f>
        <v>1148250</v>
      </c>
      <c r="I502" s="425">
        <f>SUM(I503:I505)</f>
        <v>1443250</v>
      </c>
      <c r="J502" s="425">
        <f>SUM(J503:J505)</f>
        <v>29250</v>
      </c>
      <c r="K502" s="422"/>
    </row>
    <row r="503" spans="1:11" hidden="1" x14ac:dyDescent="0.25">
      <c r="A503" s="439"/>
      <c r="B503" s="427" t="s">
        <v>571</v>
      </c>
      <c r="C503" s="427" t="s">
        <v>362</v>
      </c>
      <c r="D503" s="426"/>
      <c r="E503" s="428" t="s">
        <v>363</v>
      </c>
      <c r="F503" s="429">
        <v>200000</v>
      </c>
      <c r="G503" s="429">
        <v>0</v>
      </c>
      <c r="H503" s="429">
        <f>[2]Nov!I549</f>
        <v>200000</v>
      </c>
      <c r="I503" s="429">
        <f t="shared" ref="I503:I505" si="214">G503+H503</f>
        <v>200000</v>
      </c>
      <c r="J503" s="429">
        <f t="shared" ref="J503:J505" si="215">F503-I503</f>
        <v>0</v>
      </c>
      <c r="K503" s="426"/>
    </row>
    <row r="504" spans="1:11" hidden="1" x14ac:dyDescent="0.25">
      <c r="A504" s="439"/>
      <c r="B504" s="427" t="s">
        <v>571</v>
      </c>
      <c r="C504" s="427" t="s">
        <v>366</v>
      </c>
      <c r="D504" s="426"/>
      <c r="E504" s="428" t="s">
        <v>367</v>
      </c>
      <c r="F504" s="429">
        <v>200000</v>
      </c>
      <c r="G504" s="429">
        <v>100000</v>
      </c>
      <c r="H504" s="429">
        <f>[2]Nov!I550</f>
        <v>100000</v>
      </c>
      <c r="I504" s="429">
        <f t="shared" si="214"/>
        <v>200000</v>
      </c>
      <c r="J504" s="429">
        <f t="shared" si="215"/>
        <v>0</v>
      </c>
      <c r="K504" s="426"/>
    </row>
    <row r="505" spans="1:11" hidden="1" x14ac:dyDescent="0.25">
      <c r="A505" s="439"/>
      <c r="B505" s="427" t="s">
        <v>571</v>
      </c>
      <c r="C505" s="427" t="s">
        <v>368</v>
      </c>
      <c r="D505" s="426"/>
      <c r="E505" s="428" t="s">
        <v>369</v>
      </c>
      <c r="F505" s="429">
        <v>1072500</v>
      </c>
      <c r="G505" s="429">
        <v>195000</v>
      </c>
      <c r="H505" s="429">
        <f>[2]Nov!I551</f>
        <v>848250</v>
      </c>
      <c r="I505" s="429">
        <f t="shared" si="214"/>
        <v>1043250</v>
      </c>
      <c r="J505" s="429">
        <f t="shared" si="215"/>
        <v>29250</v>
      </c>
      <c r="K505" s="426"/>
    </row>
    <row r="506" spans="1:11" hidden="1" x14ac:dyDescent="0.25">
      <c r="A506" s="439"/>
      <c r="B506" s="427"/>
      <c r="C506" s="427"/>
      <c r="D506" s="426"/>
      <c r="E506" s="428"/>
      <c r="F506" s="429"/>
      <c r="G506" s="429"/>
      <c r="H506" s="429"/>
      <c r="I506" s="429"/>
      <c r="J506" s="429"/>
      <c r="K506" s="426"/>
    </row>
    <row r="507" spans="1:11" x14ac:dyDescent="0.25">
      <c r="A507" s="438"/>
      <c r="B507" s="419" t="s">
        <v>573</v>
      </c>
      <c r="C507" s="438"/>
      <c r="D507" s="420" t="s">
        <v>112</v>
      </c>
      <c r="E507" s="418"/>
      <c r="F507" s="421">
        <f>F508+F516+F523+F532+F540+F546+F554+F561</f>
        <v>15272520</v>
      </c>
      <c r="G507" s="421">
        <f>G508+G516+G523+G532+G540+G546+G554+G561</f>
        <v>3729500</v>
      </c>
      <c r="H507" s="421">
        <f>H508+H516+H523+H532+H540+H546+H554+H561</f>
        <v>10311500</v>
      </c>
      <c r="I507" s="421">
        <f>I508+I516+I523+I532+I540+I546+I554+I561</f>
        <v>14041000</v>
      </c>
      <c r="J507" s="421">
        <f>J508+J516+J523+J532+J540+J546+J554+J561</f>
        <v>1231520</v>
      </c>
      <c r="K507" s="418"/>
    </row>
    <row r="508" spans="1:11" x14ac:dyDescent="0.25">
      <c r="A508" s="438"/>
      <c r="B508" s="419" t="s">
        <v>574</v>
      </c>
      <c r="C508" s="438"/>
      <c r="D508" s="418"/>
      <c r="E508" s="420" t="s">
        <v>575</v>
      </c>
      <c r="F508" s="421">
        <f>F509</f>
        <v>1320000</v>
      </c>
      <c r="G508" s="421">
        <f>G509</f>
        <v>0</v>
      </c>
      <c r="H508" s="421">
        <f>H509</f>
        <v>1320000</v>
      </c>
      <c r="I508" s="421">
        <f>I509</f>
        <v>1320000</v>
      </c>
      <c r="J508" s="421">
        <f>J509</f>
        <v>0</v>
      </c>
      <c r="K508" s="418"/>
    </row>
    <row r="509" spans="1:11" hidden="1" x14ac:dyDescent="0.25">
      <c r="A509" s="438"/>
      <c r="B509" s="419" t="s">
        <v>574</v>
      </c>
      <c r="C509" s="419" t="s">
        <v>359</v>
      </c>
      <c r="D509" s="418"/>
      <c r="E509" s="420" t="s">
        <v>67</v>
      </c>
      <c r="F509" s="421">
        <f>F510+F513</f>
        <v>1320000</v>
      </c>
      <c r="G509" s="421">
        <f>G510+G513</f>
        <v>0</v>
      </c>
      <c r="H509" s="421">
        <f>H510+H513</f>
        <v>1320000</v>
      </c>
      <c r="I509" s="421">
        <f>I510+I513</f>
        <v>1320000</v>
      </c>
      <c r="J509" s="421">
        <f>J510+J513</f>
        <v>0</v>
      </c>
      <c r="K509" s="418"/>
    </row>
    <row r="510" spans="1:11" hidden="1" x14ac:dyDescent="0.25">
      <c r="A510" s="440"/>
      <c r="B510" s="423" t="s">
        <v>574</v>
      </c>
      <c r="C510" s="423" t="s">
        <v>360</v>
      </c>
      <c r="D510" s="422"/>
      <c r="E510" s="424" t="s">
        <v>361</v>
      </c>
      <c r="F510" s="425">
        <f>SUM(F511:F512)</f>
        <v>870000</v>
      </c>
      <c r="G510" s="425">
        <f>SUM(G511:G512)</f>
        <v>0</v>
      </c>
      <c r="H510" s="425">
        <f>SUM(H511:H512)</f>
        <v>870000</v>
      </c>
      <c r="I510" s="425">
        <f>SUM(I511:I512)</f>
        <v>870000</v>
      </c>
      <c r="J510" s="425">
        <f>SUM(J511:J512)</f>
        <v>0</v>
      </c>
      <c r="K510" s="422"/>
    </row>
    <row r="511" spans="1:11" hidden="1" x14ac:dyDescent="0.25">
      <c r="A511" s="439"/>
      <c r="B511" s="427" t="s">
        <v>574</v>
      </c>
      <c r="C511" s="427" t="s">
        <v>366</v>
      </c>
      <c r="D511" s="426"/>
      <c r="E511" s="428" t="s">
        <v>367</v>
      </c>
      <c r="F511" s="429">
        <v>50000</v>
      </c>
      <c r="G511" s="429">
        <v>0</v>
      </c>
      <c r="H511" s="429">
        <f>[2]Nov!I557</f>
        <v>50000</v>
      </c>
      <c r="I511" s="429">
        <f t="shared" ref="I511:I512" si="216">G511+H511</f>
        <v>50000</v>
      </c>
      <c r="J511" s="429">
        <f t="shared" ref="J511:J512" si="217">F511-I511</f>
        <v>0</v>
      </c>
      <c r="K511" s="426"/>
    </row>
    <row r="512" spans="1:11" hidden="1" x14ac:dyDescent="0.25">
      <c r="A512" s="439"/>
      <c r="B512" s="427" t="s">
        <v>574</v>
      </c>
      <c r="C512" s="427" t="s">
        <v>368</v>
      </c>
      <c r="D512" s="426"/>
      <c r="E512" s="428" t="s">
        <v>369</v>
      </c>
      <c r="F512" s="429">
        <v>820000</v>
      </c>
      <c r="G512" s="429">
        <v>0</v>
      </c>
      <c r="H512" s="429">
        <f>[2]Nov!I558</f>
        <v>820000</v>
      </c>
      <c r="I512" s="429">
        <f t="shared" si="216"/>
        <v>820000</v>
      </c>
      <c r="J512" s="429">
        <f t="shared" si="217"/>
        <v>0</v>
      </c>
      <c r="K512" s="426"/>
    </row>
    <row r="513" spans="1:11" hidden="1" x14ac:dyDescent="0.25">
      <c r="A513" s="440"/>
      <c r="B513" s="423" t="s">
        <v>574</v>
      </c>
      <c r="C513" s="423" t="s">
        <v>370</v>
      </c>
      <c r="D513" s="422"/>
      <c r="E513" s="424" t="s">
        <v>81</v>
      </c>
      <c r="F513" s="425">
        <f>SUM(F514)</f>
        <v>450000</v>
      </c>
      <c r="G513" s="425">
        <f>SUM(G514)</f>
        <v>0</v>
      </c>
      <c r="H513" s="425">
        <f>SUM(H514)</f>
        <v>450000</v>
      </c>
      <c r="I513" s="425">
        <f>SUM(I514)</f>
        <v>450000</v>
      </c>
      <c r="J513" s="425">
        <f>SUM(J514)</f>
        <v>0</v>
      </c>
      <c r="K513" s="422"/>
    </row>
    <row r="514" spans="1:11" hidden="1" x14ac:dyDescent="0.25">
      <c r="A514" s="439"/>
      <c r="B514" s="427" t="s">
        <v>574</v>
      </c>
      <c r="C514" s="427" t="s">
        <v>476</v>
      </c>
      <c r="D514" s="426"/>
      <c r="E514" s="428" t="s">
        <v>477</v>
      </c>
      <c r="F514" s="429">
        <v>450000</v>
      </c>
      <c r="G514" s="429">
        <v>0</v>
      </c>
      <c r="H514" s="429">
        <f>[2]Nov!I560</f>
        <v>450000</v>
      </c>
      <c r="I514" s="429">
        <f t="shared" ref="I514" si="218">G514+H514</f>
        <v>450000</v>
      </c>
      <c r="J514" s="429">
        <f t="shared" ref="J514" si="219">F514-I514</f>
        <v>0</v>
      </c>
      <c r="K514" s="426"/>
    </row>
    <row r="515" spans="1:11" hidden="1" x14ac:dyDescent="0.25">
      <c r="A515" s="439"/>
      <c r="B515" s="427"/>
      <c r="C515" s="427"/>
      <c r="D515" s="426"/>
      <c r="E515" s="428"/>
      <c r="F515" s="429"/>
      <c r="G515" s="429"/>
      <c r="H515" s="429"/>
      <c r="I515" s="429"/>
      <c r="J515" s="429"/>
      <c r="K515" s="426"/>
    </row>
    <row r="516" spans="1:11" x14ac:dyDescent="0.25">
      <c r="A516" s="439"/>
      <c r="B516" s="419" t="s">
        <v>576</v>
      </c>
      <c r="C516" s="438"/>
      <c r="D516" s="418"/>
      <c r="E516" s="420" t="s">
        <v>577</v>
      </c>
      <c r="F516" s="421">
        <f>F517</f>
        <v>950000</v>
      </c>
      <c r="G516" s="421">
        <f>G517</f>
        <v>0</v>
      </c>
      <c r="H516" s="421">
        <f>H517</f>
        <v>950000</v>
      </c>
      <c r="I516" s="421">
        <f>I517</f>
        <v>950000</v>
      </c>
      <c r="J516" s="421">
        <f>J517</f>
        <v>0</v>
      </c>
      <c r="K516" s="418"/>
    </row>
    <row r="517" spans="1:11" hidden="1" x14ac:dyDescent="0.25">
      <c r="A517" s="438"/>
      <c r="B517" s="419" t="s">
        <v>576</v>
      </c>
      <c r="C517" s="419" t="s">
        <v>359</v>
      </c>
      <c r="D517" s="418"/>
      <c r="E517" s="420" t="s">
        <v>67</v>
      </c>
      <c r="F517" s="421">
        <f>F518+F520</f>
        <v>950000</v>
      </c>
      <c r="G517" s="421">
        <f>G518+G520</f>
        <v>0</v>
      </c>
      <c r="H517" s="421">
        <f>H518+H520</f>
        <v>950000</v>
      </c>
      <c r="I517" s="421">
        <f>I518+I520</f>
        <v>950000</v>
      </c>
      <c r="J517" s="421">
        <f>J518+J520</f>
        <v>0</v>
      </c>
      <c r="K517" s="418"/>
    </row>
    <row r="518" spans="1:11" hidden="1" x14ac:dyDescent="0.25">
      <c r="A518" s="438"/>
      <c r="B518" s="423" t="s">
        <v>576</v>
      </c>
      <c r="C518" s="423" t="s">
        <v>360</v>
      </c>
      <c r="D518" s="422"/>
      <c r="E518" s="424" t="s">
        <v>361</v>
      </c>
      <c r="F518" s="425">
        <f>SUM(F519)</f>
        <v>500000</v>
      </c>
      <c r="G518" s="425">
        <f>SUM(G519)</f>
        <v>0</v>
      </c>
      <c r="H518" s="425">
        <f>SUM(H519)</f>
        <v>500000</v>
      </c>
      <c r="I518" s="425">
        <f>SUM(I519)</f>
        <v>500000</v>
      </c>
      <c r="J518" s="425">
        <f>SUM(J519)</f>
        <v>0</v>
      </c>
      <c r="K518" s="422"/>
    </row>
    <row r="519" spans="1:11" hidden="1" x14ac:dyDescent="0.25">
      <c r="A519" s="440"/>
      <c r="B519" s="427" t="s">
        <v>576</v>
      </c>
      <c r="C519" s="427" t="s">
        <v>368</v>
      </c>
      <c r="D519" s="426"/>
      <c r="E519" s="428" t="s">
        <v>369</v>
      </c>
      <c r="F519" s="429">
        <v>500000</v>
      </c>
      <c r="G519" s="429">
        <v>0</v>
      </c>
      <c r="H519" s="429">
        <f>[2]Nov!I565</f>
        <v>500000</v>
      </c>
      <c r="I519" s="429">
        <f t="shared" ref="I519" si="220">G519+H519</f>
        <v>500000</v>
      </c>
      <c r="J519" s="429">
        <f t="shared" ref="J519" si="221">F519-I519</f>
        <v>0</v>
      </c>
      <c r="K519" s="426"/>
    </row>
    <row r="520" spans="1:11" hidden="1" x14ac:dyDescent="0.25">
      <c r="A520" s="439"/>
      <c r="B520" s="423" t="s">
        <v>576</v>
      </c>
      <c r="C520" s="423" t="s">
        <v>370</v>
      </c>
      <c r="D520" s="422"/>
      <c r="E520" s="424" t="s">
        <v>81</v>
      </c>
      <c r="F520" s="425">
        <f>SUM(F521)</f>
        <v>450000</v>
      </c>
      <c r="G520" s="425">
        <f>SUM(G521)</f>
        <v>0</v>
      </c>
      <c r="H520" s="425">
        <f>SUM(H521)</f>
        <v>450000</v>
      </c>
      <c r="I520" s="425">
        <f>SUM(I521)</f>
        <v>450000</v>
      </c>
      <c r="J520" s="425">
        <f>SUM(J521)</f>
        <v>0</v>
      </c>
      <c r="K520" s="422"/>
    </row>
    <row r="521" spans="1:11" hidden="1" x14ac:dyDescent="0.25">
      <c r="A521" s="440"/>
      <c r="B521" s="451" t="s">
        <v>576</v>
      </c>
      <c r="C521" s="451" t="s">
        <v>476</v>
      </c>
      <c r="D521" s="452"/>
      <c r="E521" s="453" t="s">
        <v>477</v>
      </c>
      <c r="F521" s="454">
        <v>450000</v>
      </c>
      <c r="G521" s="454">
        <v>0</v>
      </c>
      <c r="H521" s="429">
        <f>[2]Nov!I567</f>
        <v>450000</v>
      </c>
      <c r="I521" s="454">
        <f t="shared" ref="I521" si="222">G521+H521</f>
        <v>450000</v>
      </c>
      <c r="J521" s="454">
        <f t="shared" ref="J521" si="223">F521-I521</f>
        <v>0</v>
      </c>
      <c r="K521" s="452"/>
    </row>
    <row r="522" spans="1:11" hidden="1" x14ac:dyDescent="0.25">
      <c r="A522" s="450"/>
      <c r="B522" s="427"/>
      <c r="C522" s="427"/>
      <c r="D522" s="426"/>
      <c r="E522" s="428"/>
      <c r="F522" s="429"/>
      <c r="G522" s="429"/>
      <c r="H522" s="429"/>
      <c r="I522" s="429"/>
      <c r="J522" s="429"/>
      <c r="K522" s="426"/>
    </row>
    <row r="523" spans="1:11" x14ac:dyDescent="0.25">
      <c r="A523" s="439"/>
      <c r="B523" s="456" t="s">
        <v>578</v>
      </c>
      <c r="C523" s="455"/>
      <c r="D523" s="457"/>
      <c r="E523" s="458" t="s">
        <v>579</v>
      </c>
      <c r="F523" s="459">
        <f>F524</f>
        <v>3233020</v>
      </c>
      <c r="G523" s="459">
        <f>G524</f>
        <v>787500</v>
      </c>
      <c r="H523" s="459">
        <f>H524</f>
        <v>2441250</v>
      </c>
      <c r="I523" s="459">
        <f>I524</f>
        <v>3228750</v>
      </c>
      <c r="J523" s="459">
        <f>J524</f>
        <v>4270</v>
      </c>
      <c r="K523" s="457"/>
    </row>
    <row r="524" spans="1:11" hidden="1" x14ac:dyDescent="0.25">
      <c r="A524" s="455"/>
      <c r="B524" s="419" t="s">
        <v>578</v>
      </c>
      <c r="C524" s="419" t="s">
        <v>359</v>
      </c>
      <c r="D524" s="418"/>
      <c r="E524" s="420" t="s">
        <v>67</v>
      </c>
      <c r="F524" s="421">
        <f>F525+F529</f>
        <v>3233020</v>
      </c>
      <c r="G524" s="421">
        <f>G525+G529</f>
        <v>787500</v>
      </c>
      <c r="H524" s="421">
        <f>H525+H529</f>
        <v>2441250</v>
      </c>
      <c r="I524" s="421">
        <f>I525+I529</f>
        <v>3228750</v>
      </c>
      <c r="J524" s="421">
        <f>J525+J529</f>
        <v>4270</v>
      </c>
      <c r="K524" s="418"/>
    </row>
    <row r="525" spans="1:11" hidden="1" x14ac:dyDescent="0.25">
      <c r="A525" s="438"/>
      <c r="B525" s="423" t="s">
        <v>578</v>
      </c>
      <c r="C525" s="423" t="s">
        <v>360</v>
      </c>
      <c r="D525" s="422"/>
      <c r="E525" s="424" t="s">
        <v>361</v>
      </c>
      <c r="F525" s="425">
        <f>SUM(F526:F528)</f>
        <v>233020</v>
      </c>
      <c r="G525" s="425">
        <f>SUM(G526:G528)</f>
        <v>37500</v>
      </c>
      <c r="H525" s="425">
        <f>SUM(H526:H528)</f>
        <v>191250</v>
      </c>
      <c r="I525" s="425">
        <f>SUM(I526:I528)</f>
        <v>228750</v>
      </c>
      <c r="J525" s="425">
        <f>SUM(J526:J528)</f>
        <v>4270</v>
      </c>
      <c r="K525" s="422"/>
    </row>
    <row r="526" spans="1:11" hidden="1" x14ac:dyDescent="0.25">
      <c r="A526" s="440"/>
      <c r="B526" s="427" t="s">
        <v>578</v>
      </c>
      <c r="C526" s="427" t="s">
        <v>362</v>
      </c>
      <c r="D526" s="426"/>
      <c r="E526" s="428" t="s">
        <v>363</v>
      </c>
      <c r="F526" s="429">
        <v>49420</v>
      </c>
      <c r="G526" s="429">
        <v>0</v>
      </c>
      <c r="H526" s="429">
        <f>[2]Nov!I572</f>
        <v>49000</v>
      </c>
      <c r="I526" s="429">
        <f t="shared" ref="I526:I528" si="224">G526+H526</f>
        <v>49000</v>
      </c>
      <c r="J526" s="429">
        <f t="shared" ref="J526:J528" si="225">F526-I526</f>
        <v>420</v>
      </c>
      <c r="K526" s="426"/>
    </row>
    <row r="527" spans="1:11" hidden="1" x14ac:dyDescent="0.25">
      <c r="A527" s="439"/>
      <c r="B527" s="427" t="s">
        <v>578</v>
      </c>
      <c r="C527" s="427" t="s">
        <v>366</v>
      </c>
      <c r="D527" s="426"/>
      <c r="E527" s="428" t="s">
        <v>367</v>
      </c>
      <c r="F527" s="429">
        <v>33600</v>
      </c>
      <c r="G527" s="429">
        <v>0</v>
      </c>
      <c r="H527" s="429">
        <f>[2]Nov!I573</f>
        <v>33500</v>
      </c>
      <c r="I527" s="429">
        <f t="shared" si="224"/>
        <v>33500</v>
      </c>
      <c r="J527" s="429">
        <f t="shared" si="225"/>
        <v>100</v>
      </c>
      <c r="K527" s="426"/>
    </row>
    <row r="528" spans="1:11" hidden="1" x14ac:dyDescent="0.25">
      <c r="A528" s="439"/>
      <c r="B528" s="427" t="s">
        <v>578</v>
      </c>
      <c r="C528" s="427" t="s">
        <v>368</v>
      </c>
      <c r="D528" s="426"/>
      <c r="E528" s="428" t="s">
        <v>369</v>
      </c>
      <c r="F528" s="429">
        <v>150000</v>
      </c>
      <c r="G528" s="429">
        <v>37500</v>
      </c>
      <c r="H528" s="429">
        <f>[2]Nov!I574</f>
        <v>108750</v>
      </c>
      <c r="I528" s="429">
        <f t="shared" si="224"/>
        <v>146250</v>
      </c>
      <c r="J528" s="429">
        <f t="shared" si="225"/>
        <v>3750</v>
      </c>
      <c r="K528" s="426"/>
    </row>
    <row r="529" spans="1:11" hidden="1" x14ac:dyDescent="0.25">
      <c r="A529" s="439"/>
      <c r="B529" s="423" t="s">
        <v>578</v>
      </c>
      <c r="C529" s="423" t="s">
        <v>370</v>
      </c>
      <c r="D529" s="422"/>
      <c r="E529" s="424" t="s">
        <v>81</v>
      </c>
      <c r="F529" s="425">
        <f>SUM(F530)</f>
        <v>3000000</v>
      </c>
      <c r="G529" s="425">
        <f>SUM(G530)</f>
        <v>750000</v>
      </c>
      <c r="H529" s="425">
        <f>SUM(H530)</f>
        <v>2250000</v>
      </c>
      <c r="I529" s="425">
        <f>SUM(I530)</f>
        <v>3000000</v>
      </c>
      <c r="J529" s="425">
        <f>SUM(J530)</f>
        <v>0</v>
      </c>
      <c r="K529" s="422"/>
    </row>
    <row r="530" spans="1:11" hidden="1" x14ac:dyDescent="0.25">
      <c r="A530" s="440"/>
      <c r="B530" s="427" t="s">
        <v>578</v>
      </c>
      <c r="C530" s="427" t="s">
        <v>398</v>
      </c>
      <c r="D530" s="426"/>
      <c r="E530" s="428" t="s">
        <v>399</v>
      </c>
      <c r="F530" s="429">
        <v>3000000</v>
      </c>
      <c r="G530" s="429">
        <v>750000</v>
      </c>
      <c r="H530" s="429">
        <f>[2]Nov!I576</f>
        <v>2250000</v>
      </c>
      <c r="I530" s="429">
        <f t="shared" ref="I530" si="226">G530+H530</f>
        <v>3000000</v>
      </c>
      <c r="J530" s="429">
        <f t="shared" ref="J530" si="227">F530-I530</f>
        <v>0</v>
      </c>
      <c r="K530" s="426"/>
    </row>
    <row r="531" spans="1:11" hidden="1" x14ac:dyDescent="0.25">
      <c r="A531" s="439"/>
      <c r="B531" s="427"/>
      <c r="C531" s="427"/>
      <c r="D531" s="426"/>
      <c r="E531" s="428"/>
      <c r="F531" s="429"/>
      <c r="G531" s="429"/>
      <c r="H531" s="429"/>
      <c r="I531" s="429"/>
      <c r="J531" s="429"/>
      <c r="K531" s="426"/>
    </row>
    <row r="532" spans="1:11" ht="38.25" x14ac:dyDescent="0.25">
      <c r="A532" s="439"/>
      <c r="B532" s="449" t="s">
        <v>580</v>
      </c>
      <c r="C532" s="438"/>
      <c r="D532" s="418"/>
      <c r="E532" s="484" t="s">
        <v>581</v>
      </c>
      <c r="F532" s="443">
        <f>F533</f>
        <v>2317000</v>
      </c>
      <c r="G532" s="443">
        <f>G533</f>
        <v>2317000</v>
      </c>
      <c r="H532" s="443">
        <f>H533</f>
        <v>0</v>
      </c>
      <c r="I532" s="443">
        <f>I533</f>
        <v>2317000</v>
      </c>
      <c r="J532" s="443">
        <f>J533</f>
        <v>0</v>
      </c>
      <c r="K532" s="418"/>
    </row>
    <row r="533" spans="1:11" hidden="1" x14ac:dyDescent="0.25">
      <c r="A533" s="438"/>
      <c r="B533" s="419" t="s">
        <v>580</v>
      </c>
      <c r="C533" s="419" t="s">
        <v>359</v>
      </c>
      <c r="D533" s="418"/>
      <c r="E533" s="420" t="s">
        <v>67</v>
      </c>
      <c r="F533" s="421">
        <f>F534+F537</f>
        <v>2317000</v>
      </c>
      <c r="G533" s="421">
        <f>G534+G537</f>
        <v>2317000</v>
      </c>
      <c r="H533" s="421">
        <f>H534+H537</f>
        <v>0</v>
      </c>
      <c r="I533" s="421">
        <f>I534+I537</f>
        <v>2317000</v>
      </c>
      <c r="J533" s="421">
        <f>J534+J537</f>
        <v>0</v>
      </c>
      <c r="K533" s="418"/>
    </row>
    <row r="534" spans="1:11" hidden="1" x14ac:dyDescent="0.25">
      <c r="A534" s="438"/>
      <c r="B534" s="423" t="s">
        <v>580</v>
      </c>
      <c r="C534" s="423" t="s">
        <v>360</v>
      </c>
      <c r="D534" s="422"/>
      <c r="E534" s="424" t="s">
        <v>361</v>
      </c>
      <c r="F534" s="425">
        <f>SUM(F535:F536)</f>
        <v>817000</v>
      </c>
      <c r="G534" s="425">
        <f>SUM(G535:G536)</f>
        <v>817000</v>
      </c>
      <c r="H534" s="425">
        <f>SUM(H535:H536)</f>
        <v>0</v>
      </c>
      <c r="I534" s="425">
        <f>SUM(I535:I536)</f>
        <v>817000</v>
      </c>
      <c r="J534" s="425">
        <f>SUM(J535:J536)</f>
        <v>0</v>
      </c>
      <c r="K534" s="422"/>
    </row>
    <row r="535" spans="1:11" hidden="1" x14ac:dyDescent="0.25">
      <c r="A535" s="440"/>
      <c r="B535" s="427" t="s">
        <v>580</v>
      </c>
      <c r="C535" s="427" t="s">
        <v>366</v>
      </c>
      <c r="D535" s="426"/>
      <c r="E535" s="428" t="s">
        <v>367</v>
      </c>
      <c r="F535" s="429">
        <v>17000</v>
      </c>
      <c r="G535" s="429">
        <v>17000</v>
      </c>
      <c r="H535" s="429">
        <f>[2]Nov!I581</f>
        <v>0</v>
      </c>
      <c r="I535" s="429">
        <f t="shared" ref="I535:I536" si="228">G535+H535</f>
        <v>17000</v>
      </c>
      <c r="J535" s="429">
        <f t="shared" ref="J535:J536" si="229">F535-I535</f>
        <v>0</v>
      </c>
      <c r="K535" s="426"/>
    </row>
    <row r="536" spans="1:11" hidden="1" x14ac:dyDescent="0.25">
      <c r="A536" s="439"/>
      <c r="B536" s="427" t="s">
        <v>580</v>
      </c>
      <c r="C536" s="427" t="s">
        <v>368</v>
      </c>
      <c r="D536" s="426"/>
      <c r="E536" s="428" t="s">
        <v>369</v>
      </c>
      <c r="F536" s="429">
        <v>800000</v>
      </c>
      <c r="G536" s="429">
        <v>800000</v>
      </c>
      <c r="H536" s="429">
        <f>[2]Nov!I582</f>
        <v>0</v>
      </c>
      <c r="I536" s="429">
        <f t="shared" si="228"/>
        <v>800000</v>
      </c>
      <c r="J536" s="429">
        <f t="shared" si="229"/>
        <v>0</v>
      </c>
      <c r="K536" s="426"/>
    </row>
    <row r="537" spans="1:11" hidden="1" x14ac:dyDescent="0.25">
      <c r="A537" s="439"/>
      <c r="B537" s="423" t="s">
        <v>580</v>
      </c>
      <c r="C537" s="423" t="s">
        <v>370</v>
      </c>
      <c r="D537" s="422"/>
      <c r="E537" s="424" t="s">
        <v>81</v>
      </c>
      <c r="F537" s="425">
        <f>SUM(F538)</f>
        <v>1500000</v>
      </c>
      <c r="G537" s="425">
        <f>SUM(G538)</f>
        <v>1500000</v>
      </c>
      <c r="H537" s="425">
        <f>SUM(H538)</f>
        <v>0</v>
      </c>
      <c r="I537" s="425">
        <f>SUM(I538)</f>
        <v>1500000</v>
      </c>
      <c r="J537" s="425">
        <f>SUM(J538)</f>
        <v>0</v>
      </c>
      <c r="K537" s="422"/>
    </row>
    <row r="538" spans="1:11" hidden="1" x14ac:dyDescent="0.25">
      <c r="A538" s="440"/>
      <c r="B538" s="427" t="s">
        <v>580</v>
      </c>
      <c r="C538" s="427" t="s">
        <v>398</v>
      </c>
      <c r="D538" s="426"/>
      <c r="E538" s="428" t="s">
        <v>399</v>
      </c>
      <c r="F538" s="429">
        <v>1500000</v>
      </c>
      <c r="G538" s="429">
        <v>1500000</v>
      </c>
      <c r="H538" s="429">
        <f>[2]Nov!I584</f>
        <v>0</v>
      </c>
      <c r="I538" s="429">
        <f t="shared" ref="I538" si="230">G538+H538</f>
        <v>1500000</v>
      </c>
      <c r="J538" s="429">
        <f t="shared" ref="J538" si="231">F538-I538</f>
        <v>0</v>
      </c>
      <c r="K538" s="426"/>
    </row>
    <row r="539" spans="1:11" hidden="1" x14ac:dyDescent="0.25">
      <c r="A539" s="483"/>
      <c r="B539" s="427"/>
      <c r="C539" s="427"/>
      <c r="D539" s="426"/>
      <c r="E539" s="428"/>
      <c r="F539" s="429"/>
      <c r="G539" s="429"/>
      <c r="H539" s="429"/>
      <c r="I539" s="429"/>
      <c r="J539" s="429"/>
      <c r="K539" s="426"/>
    </row>
    <row r="540" spans="1:11" x14ac:dyDescent="0.25">
      <c r="A540" s="485"/>
      <c r="B540" s="419" t="s">
        <v>582</v>
      </c>
      <c r="C540" s="438"/>
      <c r="D540" s="418"/>
      <c r="E540" s="420" t="s">
        <v>583</v>
      </c>
      <c r="F540" s="421">
        <f t="shared" ref="F540:J541" si="232">F541</f>
        <v>2500000</v>
      </c>
      <c r="G540" s="421">
        <f t="shared" si="232"/>
        <v>0</v>
      </c>
      <c r="H540" s="421">
        <f t="shared" si="232"/>
        <v>1620000</v>
      </c>
      <c r="I540" s="421">
        <f t="shared" si="232"/>
        <v>1620000</v>
      </c>
      <c r="J540" s="421">
        <f t="shared" si="232"/>
        <v>880000</v>
      </c>
      <c r="K540" s="418"/>
    </row>
    <row r="541" spans="1:11" ht="0.75" customHeight="1" x14ac:dyDescent="0.25">
      <c r="A541" s="438"/>
      <c r="B541" s="419" t="s">
        <v>582</v>
      </c>
      <c r="C541" s="419" t="s">
        <v>359</v>
      </c>
      <c r="D541" s="418"/>
      <c r="E541" s="420" t="s">
        <v>67</v>
      </c>
      <c r="F541" s="421">
        <f t="shared" si="232"/>
        <v>2500000</v>
      </c>
      <c r="G541" s="421">
        <f t="shared" si="232"/>
        <v>0</v>
      </c>
      <c r="H541" s="421">
        <f t="shared" si="232"/>
        <v>1620000</v>
      </c>
      <c r="I541" s="421">
        <f t="shared" si="232"/>
        <v>1620000</v>
      </c>
      <c r="J541" s="421">
        <f t="shared" si="232"/>
        <v>880000</v>
      </c>
      <c r="K541" s="418"/>
    </row>
    <row r="542" spans="1:11" hidden="1" x14ac:dyDescent="0.25">
      <c r="A542" s="438"/>
      <c r="B542" s="423" t="s">
        <v>582</v>
      </c>
      <c r="C542" s="423" t="s">
        <v>360</v>
      </c>
      <c r="D542" s="422"/>
      <c r="E542" s="424" t="s">
        <v>361</v>
      </c>
      <c r="F542" s="425">
        <f>SUM(F543:F544)</f>
        <v>2500000</v>
      </c>
      <c r="G542" s="425">
        <f>SUM(G543:G544)</f>
        <v>0</v>
      </c>
      <c r="H542" s="425">
        <f>SUM(H543:H544)</f>
        <v>1620000</v>
      </c>
      <c r="I542" s="425">
        <f>SUM(I543:I544)</f>
        <v>1620000</v>
      </c>
      <c r="J542" s="425">
        <f>SUM(J543:J544)</f>
        <v>880000</v>
      </c>
      <c r="K542" s="422"/>
    </row>
    <row r="543" spans="1:11" hidden="1" x14ac:dyDescent="0.25">
      <c r="A543" s="440"/>
      <c r="B543" s="427" t="s">
        <v>582</v>
      </c>
      <c r="C543" s="427" t="s">
        <v>366</v>
      </c>
      <c r="D543" s="426"/>
      <c r="E543" s="428" t="s">
        <v>367</v>
      </c>
      <c r="F543" s="429">
        <v>625000</v>
      </c>
      <c r="G543" s="429">
        <v>0</v>
      </c>
      <c r="H543" s="429">
        <f>[2]Nov!I591</f>
        <v>0</v>
      </c>
      <c r="I543" s="429">
        <f t="shared" ref="I543:I544" si="233">G543+H543</f>
        <v>0</v>
      </c>
      <c r="J543" s="429">
        <f t="shared" ref="J543:J544" si="234">F543-I543</f>
        <v>625000</v>
      </c>
      <c r="K543" s="426"/>
    </row>
    <row r="544" spans="1:11" hidden="1" x14ac:dyDescent="0.25">
      <c r="A544" s="439"/>
      <c r="B544" s="427" t="s">
        <v>582</v>
      </c>
      <c r="C544" s="427" t="s">
        <v>368</v>
      </c>
      <c r="D544" s="426"/>
      <c r="E544" s="428" t="s">
        <v>369</v>
      </c>
      <c r="F544" s="429">
        <v>1875000</v>
      </c>
      <c r="G544" s="429">
        <v>0</v>
      </c>
      <c r="H544" s="429">
        <f>[2]Nov!I592</f>
        <v>1620000</v>
      </c>
      <c r="I544" s="429">
        <f t="shared" si="233"/>
        <v>1620000</v>
      </c>
      <c r="J544" s="429">
        <f t="shared" si="234"/>
        <v>255000</v>
      </c>
      <c r="K544" s="426"/>
    </row>
    <row r="545" spans="1:11" hidden="1" x14ac:dyDescent="0.25">
      <c r="A545" s="439"/>
      <c r="B545" s="427"/>
      <c r="C545" s="427"/>
      <c r="D545" s="426"/>
      <c r="E545" s="428"/>
      <c r="F545" s="429"/>
      <c r="G545" s="429"/>
      <c r="H545" s="429"/>
      <c r="I545" s="429"/>
      <c r="J545" s="429"/>
      <c r="K545" s="426"/>
    </row>
    <row r="546" spans="1:11" x14ac:dyDescent="0.25">
      <c r="A546" s="439"/>
      <c r="B546" s="419" t="s">
        <v>584</v>
      </c>
      <c r="C546" s="438"/>
      <c r="D546" s="418"/>
      <c r="E546" s="420" t="s">
        <v>585</v>
      </c>
      <c r="F546" s="421">
        <f>F547</f>
        <v>1300000</v>
      </c>
      <c r="G546" s="421">
        <f>G547</f>
        <v>0</v>
      </c>
      <c r="H546" s="421">
        <f>H547</f>
        <v>1300000</v>
      </c>
      <c r="I546" s="421">
        <f>I547</f>
        <v>1300000</v>
      </c>
      <c r="J546" s="421">
        <f>J547</f>
        <v>0</v>
      </c>
      <c r="K546" s="418"/>
    </row>
    <row r="547" spans="1:11" hidden="1" x14ac:dyDescent="0.25">
      <c r="A547" s="438"/>
      <c r="B547" s="419" t="s">
        <v>584</v>
      </c>
      <c r="C547" s="419" t="s">
        <v>359</v>
      </c>
      <c r="D547" s="418"/>
      <c r="E547" s="420" t="s">
        <v>67</v>
      </c>
      <c r="F547" s="421">
        <f>F548+F551</f>
        <v>1300000</v>
      </c>
      <c r="G547" s="421">
        <f>G548+G551</f>
        <v>0</v>
      </c>
      <c r="H547" s="421">
        <f>H548+H551</f>
        <v>1300000</v>
      </c>
      <c r="I547" s="421">
        <f>I548+I551</f>
        <v>1300000</v>
      </c>
      <c r="J547" s="421">
        <f>J548+J551</f>
        <v>0</v>
      </c>
      <c r="K547" s="418"/>
    </row>
    <row r="548" spans="1:11" hidden="1" x14ac:dyDescent="0.25">
      <c r="A548" s="438"/>
      <c r="B548" s="423" t="s">
        <v>584</v>
      </c>
      <c r="C548" s="423" t="s">
        <v>360</v>
      </c>
      <c r="D548" s="422"/>
      <c r="E548" s="424" t="s">
        <v>361</v>
      </c>
      <c r="F548" s="425">
        <f>SUM(F549:F550)</f>
        <v>850000</v>
      </c>
      <c r="G548" s="425">
        <f>SUM(G549:G550)</f>
        <v>0</v>
      </c>
      <c r="H548" s="425">
        <f>SUM(H549:H550)</f>
        <v>850000</v>
      </c>
      <c r="I548" s="425">
        <f>SUM(I549:I550)</f>
        <v>850000</v>
      </c>
      <c r="J548" s="425">
        <f>SUM(J549:J550)</f>
        <v>0</v>
      </c>
      <c r="K548" s="422"/>
    </row>
    <row r="549" spans="1:11" hidden="1" x14ac:dyDescent="0.25">
      <c r="A549" s="440"/>
      <c r="B549" s="427" t="s">
        <v>584</v>
      </c>
      <c r="C549" s="427" t="s">
        <v>366</v>
      </c>
      <c r="D549" s="426"/>
      <c r="E549" s="428" t="s">
        <v>367</v>
      </c>
      <c r="F549" s="429">
        <v>50000</v>
      </c>
      <c r="G549" s="429">
        <v>0</v>
      </c>
      <c r="H549" s="429">
        <f>[2]Nov!I597</f>
        <v>50000</v>
      </c>
      <c r="I549" s="429">
        <f t="shared" ref="I549:I550" si="235">G549+H549</f>
        <v>50000</v>
      </c>
      <c r="J549" s="429">
        <f t="shared" ref="J549:J550" si="236">F549-I549</f>
        <v>0</v>
      </c>
      <c r="K549" s="426"/>
    </row>
    <row r="550" spans="1:11" hidden="1" x14ac:dyDescent="0.25">
      <c r="A550" s="439"/>
      <c r="B550" s="427" t="s">
        <v>584</v>
      </c>
      <c r="C550" s="427" t="s">
        <v>368</v>
      </c>
      <c r="D550" s="426"/>
      <c r="E550" s="428" t="s">
        <v>369</v>
      </c>
      <c r="F550" s="429">
        <v>800000</v>
      </c>
      <c r="G550" s="429">
        <v>0</v>
      </c>
      <c r="H550" s="429">
        <f>[2]Nov!I598</f>
        <v>800000</v>
      </c>
      <c r="I550" s="429">
        <f t="shared" si="235"/>
        <v>800000</v>
      </c>
      <c r="J550" s="429">
        <f t="shared" si="236"/>
        <v>0</v>
      </c>
      <c r="K550" s="426"/>
    </row>
    <row r="551" spans="1:11" hidden="1" x14ac:dyDescent="0.25">
      <c r="A551" s="439"/>
      <c r="B551" s="423" t="s">
        <v>584</v>
      </c>
      <c r="C551" s="423" t="s">
        <v>370</v>
      </c>
      <c r="D551" s="422"/>
      <c r="E551" s="424" t="s">
        <v>81</v>
      </c>
      <c r="F551" s="425">
        <f>SUM(F552)</f>
        <v>450000</v>
      </c>
      <c r="G551" s="425">
        <f>SUM(G552)</f>
        <v>0</v>
      </c>
      <c r="H551" s="425">
        <f>SUM(H552)</f>
        <v>450000</v>
      </c>
      <c r="I551" s="425">
        <f>SUM(I552)</f>
        <v>450000</v>
      </c>
      <c r="J551" s="425">
        <f>SUM(J552)</f>
        <v>0</v>
      </c>
      <c r="K551" s="422"/>
    </row>
    <row r="552" spans="1:11" hidden="1" x14ac:dyDescent="0.25">
      <c r="A552" s="440"/>
      <c r="B552" s="427" t="s">
        <v>584</v>
      </c>
      <c r="C552" s="427" t="s">
        <v>476</v>
      </c>
      <c r="D552" s="426"/>
      <c r="E552" s="428" t="s">
        <v>477</v>
      </c>
      <c r="F552" s="429">
        <v>450000</v>
      </c>
      <c r="G552" s="429">
        <v>0</v>
      </c>
      <c r="H552" s="429">
        <f>[2]Nov!I600</f>
        <v>450000</v>
      </c>
      <c r="I552" s="429">
        <f t="shared" ref="I552" si="237">G552+H552</f>
        <v>450000</v>
      </c>
      <c r="J552" s="429">
        <f t="shared" ref="J552" si="238">F552-I552</f>
        <v>0</v>
      </c>
      <c r="K552" s="426"/>
    </row>
    <row r="553" spans="1:11" hidden="1" x14ac:dyDescent="0.25">
      <c r="A553" s="439"/>
      <c r="B553" s="427"/>
      <c r="C553" s="427"/>
      <c r="D553" s="426"/>
      <c r="E553" s="428"/>
      <c r="F553" s="429"/>
      <c r="G553" s="429"/>
      <c r="H553" s="429"/>
      <c r="I553" s="429"/>
      <c r="J553" s="429"/>
      <c r="K553" s="426"/>
    </row>
    <row r="554" spans="1:11" ht="14.25" customHeight="1" x14ac:dyDescent="0.25">
      <c r="A554" s="439"/>
      <c r="B554" s="419" t="s">
        <v>586</v>
      </c>
      <c r="C554" s="438"/>
      <c r="D554" s="418"/>
      <c r="E554" s="420" t="s">
        <v>587</v>
      </c>
      <c r="F554" s="421">
        <f t="shared" ref="F554:J555" si="239">F555</f>
        <v>1472500</v>
      </c>
      <c r="G554" s="421">
        <f t="shared" si="239"/>
        <v>295000</v>
      </c>
      <c r="H554" s="421">
        <f t="shared" si="239"/>
        <v>1148250</v>
      </c>
      <c r="I554" s="421">
        <f t="shared" si="239"/>
        <v>1443250</v>
      </c>
      <c r="J554" s="421">
        <f t="shared" si="239"/>
        <v>29250</v>
      </c>
      <c r="K554" s="418"/>
    </row>
    <row r="555" spans="1:11" hidden="1" x14ac:dyDescent="0.25">
      <c r="A555" s="438"/>
      <c r="B555" s="419" t="s">
        <v>586</v>
      </c>
      <c r="C555" s="419" t="s">
        <v>359</v>
      </c>
      <c r="D555" s="418"/>
      <c r="E555" s="420" t="s">
        <v>67</v>
      </c>
      <c r="F555" s="421">
        <f t="shared" si="239"/>
        <v>1472500</v>
      </c>
      <c r="G555" s="421">
        <f t="shared" si="239"/>
        <v>295000</v>
      </c>
      <c r="H555" s="421">
        <f t="shared" si="239"/>
        <v>1148250</v>
      </c>
      <c r="I555" s="421">
        <f t="shared" si="239"/>
        <v>1443250</v>
      </c>
      <c r="J555" s="421">
        <f t="shared" si="239"/>
        <v>29250</v>
      </c>
      <c r="K555" s="418"/>
    </row>
    <row r="556" spans="1:11" hidden="1" x14ac:dyDescent="0.25">
      <c r="A556" s="438"/>
      <c r="B556" s="423" t="s">
        <v>586</v>
      </c>
      <c r="C556" s="423" t="s">
        <v>360</v>
      </c>
      <c r="D556" s="422"/>
      <c r="E556" s="424" t="s">
        <v>361</v>
      </c>
      <c r="F556" s="425">
        <f>SUM(F557:F559)</f>
        <v>1472500</v>
      </c>
      <c r="G556" s="425">
        <f>SUM(G557:G559)</f>
        <v>295000</v>
      </c>
      <c r="H556" s="425">
        <f>SUM(H557:H559)</f>
        <v>1148250</v>
      </c>
      <c r="I556" s="425">
        <f>SUM(I557:I559)</f>
        <v>1443250</v>
      </c>
      <c r="J556" s="425">
        <f>SUM(J557:J559)</f>
        <v>29250</v>
      </c>
      <c r="K556" s="422"/>
    </row>
    <row r="557" spans="1:11" hidden="1" x14ac:dyDescent="0.25">
      <c r="A557" s="440"/>
      <c r="B557" s="427" t="s">
        <v>586</v>
      </c>
      <c r="C557" s="427" t="s">
        <v>362</v>
      </c>
      <c r="D557" s="426"/>
      <c r="E557" s="428" t="s">
        <v>363</v>
      </c>
      <c r="F557" s="429">
        <v>200000</v>
      </c>
      <c r="G557" s="429">
        <v>0</v>
      </c>
      <c r="H557" s="429">
        <f>[2]Nov!I605</f>
        <v>200000</v>
      </c>
      <c r="I557" s="429">
        <f t="shared" ref="I557:I559" si="240">G557+H557</f>
        <v>200000</v>
      </c>
      <c r="J557" s="429">
        <f t="shared" ref="J557:J559" si="241">F557-I557</f>
        <v>0</v>
      </c>
      <c r="K557" s="426"/>
    </row>
    <row r="558" spans="1:11" hidden="1" x14ac:dyDescent="0.25">
      <c r="A558" s="439"/>
      <c r="B558" s="427" t="s">
        <v>586</v>
      </c>
      <c r="C558" s="427" t="s">
        <v>366</v>
      </c>
      <c r="D558" s="426"/>
      <c r="E558" s="428" t="s">
        <v>367</v>
      </c>
      <c r="F558" s="429">
        <v>200000</v>
      </c>
      <c r="G558" s="429">
        <v>100000</v>
      </c>
      <c r="H558" s="429">
        <f>[2]Nov!I606</f>
        <v>100000</v>
      </c>
      <c r="I558" s="429">
        <f t="shared" si="240"/>
        <v>200000</v>
      </c>
      <c r="J558" s="429">
        <f t="shared" si="241"/>
        <v>0</v>
      </c>
      <c r="K558" s="426"/>
    </row>
    <row r="559" spans="1:11" hidden="1" x14ac:dyDescent="0.25">
      <c r="A559" s="439"/>
      <c r="B559" s="451" t="s">
        <v>586</v>
      </c>
      <c r="C559" s="451" t="s">
        <v>368</v>
      </c>
      <c r="D559" s="452"/>
      <c r="E559" s="453" t="s">
        <v>369</v>
      </c>
      <c r="F559" s="454">
        <v>1072500</v>
      </c>
      <c r="G559" s="454">
        <v>195000</v>
      </c>
      <c r="H559" s="429">
        <f>[2]Nov!I607</f>
        <v>848250</v>
      </c>
      <c r="I559" s="454">
        <f t="shared" si="240"/>
        <v>1043250</v>
      </c>
      <c r="J559" s="454">
        <f t="shared" si="241"/>
        <v>29250</v>
      </c>
      <c r="K559" s="452"/>
    </row>
    <row r="560" spans="1:11" hidden="1" x14ac:dyDescent="0.25">
      <c r="A560" s="450"/>
      <c r="B560" s="427"/>
      <c r="C560" s="427"/>
      <c r="D560" s="426"/>
      <c r="E560" s="428"/>
      <c r="F560" s="429"/>
      <c r="G560" s="429"/>
      <c r="H560" s="429"/>
      <c r="I560" s="429"/>
      <c r="J560" s="429"/>
      <c r="K560" s="426"/>
    </row>
    <row r="561" spans="1:11" ht="14.25" customHeight="1" x14ac:dyDescent="0.25">
      <c r="A561" s="439"/>
      <c r="B561" s="456" t="s">
        <v>588</v>
      </c>
      <c r="C561" s="455"/>
      <c r="D561" s="457"/>
      <c r="E561" s="458" t="s">
        <v>589</v>
      </c>
      <c r="F561" s="459">
        <f t="shared" ref="F561:J562" si="242">F562</f>
        <v>2180000</v>
      </c>
      <c r="G561" s="459">
        <f t="shared" si="242"/>
        <v>330000</v>
      </c>
      <c r="H561" s="459">
        <f t="shared" si="242"/>
        <v>1532000</v>
      </c>
      <c r="I561" s="459">
        <f t="shared" si="242"/>
        <v>1862000</v>
      </c>
      <c r="J561" s="459">
        <f t="shared" si="242"/>
        <v>318000</v>
      </c>
      <c r="K561" s="457"/>
    </row>
    <row r="562" spans="1:11" hidden="1" x14ac:dyDescent="0.25">
      <c r="A562" s="455"/>
      <c r="B562" s="419" t="s">
        <v>588</v>
      </c>
      <c r="C562" s="419" t="s">
        <v>359</v>
      </c>
      <c r="D562" s="418"/>
      <c r="E562" s="420" t="s">
        <v>67</v>
      </c>
      <c r="F562" s="421">
        <f t="shared" si="242"/>
        <v>2180000</v>
      </c>
      <c r="G562" s="421">
        <f t="shared" si="242"/>
        <v>330000</v>
      </c>
      <c r="H562" s="421">
        <f t="shared" si="242"/>
        <v>1532000</v>
      </c>
      <c r="I562" s="421">
        <f t="shared" si="242"/>
        <v>1862000</v>
      </c>
      <c r="J562" s="421">
        <f t="shared" si="242"/>
        <v>318000</v>
      </c>
      <c r="K562" s="418"/>
    </row>
    <row r="563" spans="1:11" hidden="1" x14ac:dyDescent="0.25">
      <c r="A563" s="438"/>
      <c r="B563" s="423" t="s">
        <v>588</v>
      </c>
      <c r="C563" s="423" t="s">
        <v>360</v>
      </c>
      <c r="D563" s="422"/>
      <c r="E563" s="424" t="s">
        <v>361</v>
      </c>
      <c r="F563" s="425">
        <f>SUM(F564:F566)</f>
        <v>2180000</v>
      </c>
      <c r="G563" s="425">
        <f>SUM(G564:G566)</f>
        <v>330000</v>
      </c>
      <c r="H563" s="425">
        <f>SUM(H564:H566)</f>
        <v>1532000</v>
      </c>
      <c r="I563" s="425">
        <f>SUM(I564:I566)</f>
        <v>1862000</v>
      </c>
      <c r="J563" s="425">
        <f>SUM(J564:J566)</f>
        <v>318000</v>
      </c>
      <c r="K563" s="422"/>
    </row>
    <row r="564" spans="1:11" hidden="1" x14ac:dyDescent="0.25">
      <c r="A564" s="440"/>
      <c r="B564" s="427" t="s">
        <v>588</v>
      </c>
      <c r="C564" s="427" t="s">
        <v>362</v>
      </c>
      <c r="D564" s="426"/>
      <c r="E564" s="428" t="s">
        <v>363</v>
      </c>
      <c r="F564" s="429">
        <v>100000</v>
      </c>
      <c r="G564" s="429">
        <v>0</v>
      </c>
      <c r="H564" s="429">
        <f>[2]Nov!I612</f>
        <v>100000</v>
      </c>
      <c r="I564" s="429">
        <f t="shared" ref="I564:I566" si="243">G564+H564</f>
        <v>100000</v>
      </c>
      <c r="J564" s="429">
        <f t="shared" ref="J564:J566" si="244">F564-I564</f>
        <v>0</v>
      </c>
      <c r="K564" s="426"/>
    </row>
    <row r="565" spans="1:11" hidden="1" x14ac:dyDescent="0.25">
      <c r="A565" s="439"/>
      <c r="B565" s="427" t="s">
        <v>588</v>
      </c>
      <c r="C565" s="427" t="s">
        <v>366</v>
      </c>
      <c r="D565" s="426"/>
      <c r="E565" s="428" t="s">
        <v>367</v>
      </c>
      <c r="F565" s="429">
        <v>100000</v>
      </c>
      <c r="G565" s="429">
        <v>0</v>
      </c>
      <c r="H565" s="429">
        <f>[2]Nov!I613</f>
        <v>100000</v>
      </c>
      <c r="I565" s="429">
        <f t="shared" si="243"/>
        <v>100000</v>
      </c>
      <c r="J565" s="429">
        <f t="shared" si="244"/>
        <v>0</v>
      </c>
      <c r="K565" s="426"/>
    </row>
    <row r="566" spans="1:11" hidden="1" x14ac:dyDescent="0.25">
      <c r="A566" s="439"/>
      <c r="B566" s="427" t="s">
        <v>588</v>
      </c>
      <c r="C566" s="427" t="s">
        <v>368</v>
      </c>
      <c r="D566" s="426"/>
      <c r="E566" s="428" t="s">
        <v>369</v>
      </c>
      <c r="F566" s="429">
        <v>1980000</v>
      </c>
      <c r="G566" s="429">
        <v>330000</v>
      </c>
      <c r="H566" s="429">
        <f>[2]Nov!I614</f>
        <v>1332000</v>
      </c>
      <c r="I566" s="429">
        <f t="shared" si="243"/>
        <v>1662000</v>
      </c>
      <c r="J566" s="429">
        <f t="shared" si="244"/>
        <v>318000</v>
      </c>
      <c r="K566" s="426"/>
    </row>
    <row r="567" spans="1:11" hidden="1" x14ac:dyDescent="0.25">
      <c r="A567" s="439"/>
      <c r="B567" s="427"/>
      <c r="C567" s="427"/>
      <c r="D567" s="426"/>
      <c r="E567" s="428"/>
      <c r="F567" s="429"/>
      <c r="G567" s="429"/>
      <c r="H567" s="429"/>
      <c r="I567" s="429"/>
      <c r="J567" s="429"/>
      <c r="K567" s="426"/>
    </row>
    <row r="568" spans="1:11" x14ac:dyDescent="0.25">
      <c r="A568" s="439"/>
      <c r="B568" s="419">
        <v>4</v>
      </c>
      <c r="C568" s="438"/>
      <c r="D568" s="420" t="s">
        <v>590</v>
      </c>
      <c r="E568" s="418"/>
      <c r="F568" s="421">
        <f>F569+F591+F601+F634+F644</f>
        <v>35902300</v>
      </c>
      <c r="G568" s="421">
        <f>G569+G591+G601+G634+G644</f>
        <v>18565000</v>
      </c>
      <c r="H568" s="421">
        <f>H569+H591+H601+H634+H644</f>
        <v>17202250</v>
      </c>
      <c r="I568" s="421">
        <f>I569+I591+I601+I634+I644</f>
        <v>35767250</v>
      </c>
      <c r="J568" s="421">
        <f>J569+J591+J601+J634+J644</f>
        <v>135050</v>
      </c>
      <c r="K568" s="418"/>
    </row>
    <row r="569" spans="1:11" ht="14.25" customHeight="1" x14ac:dyDescent="0.25">
      <c r="A569" s="438"/>
      <c r="B569" s="419" t="s">
        <v>591</v>
      </c>
      <c r="C569" s="438"/>
      <c r="D569" s="420" t="s">
        <v>115</v>
      </c>
      <c r="E569" s="418"/>
      <c r="F569" s="421">
        <f>F570+F580</f>
        <v>5177500</v>
      </c>
      <c r="G569" s="421">
        <f>G570+G580</f>
        <v>0</v>
      </c>
      <c r="H569" s="421">
        <f>H570+H580</f>
        <v>5042500</v>
      </c>
      <c r="I569" s="421">
        <f>I570+I580</f>
        <v>5042500</v>
      </c>
      <c r="J569" s="421">
        <f>J570+J580</f>
        <v>135000</v>
      </c>
      <c r="K569" s="418"/>
    </row>
    <row r="570" spans="1:11" hidden="1" x14ac:dyDescent="0.25">
      <c r="A570" s="438"/>
      <c r="B570" s="419" t="s">
        <v>592</v>
      </c>
      <c r="C570" s="438"/>
      <c r="D570" s="418"/>
      <c r="E570" s="420" t="s">
        <v>593</v>
      </c>
      <c r="F570" s="421">
        <f>F571</f>
        <v>0</v>
      </c>
      <c r="G570" s="421">
        <f>G571</f>
        <v>0</v>
      </c>
      <c r="H570" s="421">
        <f>H571</f>
        <v>0</v>
      </c>
      <c r="I570" s="421">
        <f>I571</f>
        <v>0</v>
      </c>
      <c r="J570" s="421">
        <f>J571</f>
        <v>0</v>
      </c>
      <c r="K570" s="418"/>
    </row>
    <row r="571" spans="1:11" hidden="1" x14ac:dyDescent="0.25">
      <c r="A571" s="438"/>
      <c r="B571" s="419" t="s">
        <v>592</v>
      </c>
      <c r="C571" s="419" t="s">
        <v>359</v>
      </c>
      <c r="D571" s="418"/>
      <c r="E571" s="420" t="s">
        <v>67</v>
      </c>
      <c r="F571" s="421">
        <f>F572+F575+F577</f>
        <v>0</v>
      </c>
      <c r="G571" s="421">
        <f>G572+G575+G577</f>
        <v>0</v>
      </c>
      <c r="H571" s="421">
        <f>H572+H575+H577</f>
        <v>0</v>
      </c>
      <c r="I571" s="421">
        <f>I572+I575+I577</f>
        <v>0</v>
      </c>
      <c r="J571" s="421">
        <f>J572+J575+J577</f>
        <v>0</v>
      </c>
      <c r="K571" s="418"/>
    </row>
    <row r="572" spans="1:11" hidden="1" x14ac:dyDescent="0.25">
      <c r="A572" s="438"/>
      <c r="B572" s="423" t="s">
        <v>592</v>
      </c>
      <c r="C572" s="423" t="s">
        <v>360</v>
      </c>
      <c r="D572" s="422"/>
      <c r="E572" s="424" t="s">
        <v>361</v>
      </c>
      <c r="F572" s="425">
        <f>SUM(F573:F574)</f>
        <v>0</v>
      </c>
      <c r="G572" s="425">
        <f>SUM(G573:G574)</f>
        <v>0</v>
      </c>
      <c r="H572" s="425">
        <f>SUM(H573:H574)</f>
        <v>0</v>
      </c>
      <c r="I572" s="425">
        <f>SUM(I573:I574)</f>
        <v>0</v>
      </c>
      <c r="J572" s="425">
        <f>SUM(J573:J574)</f>
        <v>0</v>
      </c>
      <c r="K572" s="422"/>
    </row>
    <row r="573" spans="1:11" hidden="1" x14ac:dyDescent="0.25">
      <c r="A573" s="440"/>
      <c r="B573" s="427" t="s">
        <v>592</v>
      </c>
      <c r="C573" s="427" t="s">
        <v>366</v>
      </c>
      <c r="D573" s="426"/>
      <c r="E573" s="428" t="s">
        <v>367</v>
      </c>
      <c r="F573" s="429">
        <v>0</v>
      </c>
      <c r="G573" s="429">
        <v>0</v>
      </c>
      <c r="H573" s="429">
        <f>[2]Nov!I621</f>
        <v>0</v>
      </c>
      <c r="I573" s="429">
        <f t="shared" ref="I573:I574" si="245">G573+H573</f>
        <v>0</v>
      </c>
      <c r="J573" s="429">
        <f t="shared" ref="J573:J574" si="246">F573-I573</f>
        <v>0</v>
      </c>
      <c r="K573" s="426"/>
    </row>
    <row r="574" spans="1:11" hidden="1" x14ac:dyDescent="0.25">
      <c r="A574" s="439"/>
      <c r="B574" s="427" t="s">
        <v>592</v>
      </c>
      <c r="C574" s="427" t="s">
        <v>368</v>
      </c>
      <c r="D574" s="426"/>
      <c r="E574" s="428" t="s">
        <v>369</v>
      </c>
      <c r="F574" s="429">
        <v>0</v>
      </c>
      <c r="G574" s="429">
        <v>0</v>
      </c>
      <c r="H574" s="429">
        <f>[2]Nov!I622</f>
        <v>0</v>
      </c>
      <c r="I574" s="429">
        <f t="shared" si="245"/>
        <v>0</v>
      </c>
      <c r="J574" s="429">
        <f t="shared" si="246"/>
        <v>0</v>
      </c>
      <c r="K574" s="426"/>
    </row>
    <row r="575" spans="1:11" hidden="1" x14ac:dyDescent="0.25">
      <c r="A575" s="439"/>
      <c r="B575" s="423" t="s">
        <v>592</v>
      </c>
      <c r="C575" s="423" t="s">
        <v>370</v>
      </c>
      <c r="D575" s="422"/>
      <c r="E575" s="424" t="s">
        <v>81</v>
      </c>
      <c r="F575" s="425">
        <f>SUM(F576)</f>
        <v>0</v>
      </c>
      <c r="G575" s="425">
        <f>SUM(G576)</f>
        <v>0</v>
      </c>
      <c r="H575" s="425">
        <f>SUM(H576)</f>
        <v>0</v>
      </c>
      <c r="I575" s="425">
        <f>SUM(I576)</f>
        <v>0</v>
      </c>
      <c r="J575" s="425">
        <f>SUM(J576)</f>
        <v>0</v>
      </c>
      <c r="K575" s="422"/>
    </row>
    <row r="576" spans="1:11" hidden="1" x14ac:dyDescent="0.25">
      <c r="A576" s="440"/>
      <c r="B576" s="427" t="s">
        <v>592</v>
      </c>
      <c r="C576" s="427" t="s">
        <v>436</v>
      </c>
      <c r="D576" s="426"/>
      <c r="E576" s="428" t="s">
        <v>437</v>
      </c>
      <c r="F576" s="429">
        <v>0</v>
      </c>
      <c r="G576" s="429">
        <v>0</v>
      </c>
      <c r="H576" s="429">
        <f>[2]Nov!I624</f>
        <v>0</v>
      </c>
      <c r="I576" s="429">
        <f t="shared" ref="I576" si="247">G576+H576</f>
        <v>0</v>
      </c>
      <c r="J576" s="429">
        <f t="shared" ref="J576" si="248">F576-I576</f>
        <v>0</v>
      </c>
      <c r="K576" s="426"/>
    </row>
    <row r="577" spans="1:11" hidden="1" x14ac:dyDescent="0.25">
      <c r="A577" s="439"/>
      <c r="B577" s="423" t="s">
        <v>592</v>
      </c>
      <c r="C577" s="423" t="s">
        <v>460</v>
      </c>
      <c r="D577" s="422"/>
      <c r="E577" s="424" t="s">
        <v>461</v>
      </c>
      <c r="F577" s="425">
        <f>SUM(F578)</f>
        <v>0</v>
      </c>
      <c r="G577" s="425">
        <f>SUM(G578)</f>
        <v>0</v>
      </c>
      <c r="H577" s="425">
        <f>SUM(H578)</f>
        <v>0</v>
      </c>
      <c r="I577" s="425">
        <f>SUM(I578)</f>
        <v>0</v>
      </c>
      <c r="J577" s="425">
        <f>SUM(J578)</f>
        <v>0</v>
      </c>
      <c r="K577" s="422"/>
    </row>
    <row r="578" spans="1:11" hidden="1" x14ac:dyDescent="0.25">
      <c r="A578" s="440"/>
      <c r="B578" s="427" t="s">
        <v>592</v>
      </c>
      <c r="C578" s="427" t="s">
        <v>594</v>
      </c>
      <c r="D578" s="426"/>
      <c r="E578" s="428" t="s">
        <v>595</v>
      </c>
      <c r="F578" s="429">
        <v>0</v>
      </c>
      <c r="G578" s="429">
        <v>0</v>
      </c>
      <c r="H578" s="429">
        <f>[2]Nov!I626</f>
        <v>0</v>
      </c>
      <c r="I578" s="429">
        <f t="shared" ref="I578" si="249">G578+H578</f>
        <v>0</v>
      </c>
      <c r="J578" s="429">
        <f t="shared" ref="J578" si="250">F578-I578</f>
        <v>0</v>
      </c>
      <c r="K578" s="426"/>
    </row>
    <row r="579" spans="1:11" hidden="1" x14ac:dyDescent="0.25">
      <c r="A579" s="483"/>
      <c r="B579" s="427"/>
      <c r="C579" s="427"/>
      <c r="D579" s="426"/>
      <c r="E579" s="428"/>
      <c r="F579" s="429"/>
      <c r="G579" s="429"/>
      <c r="H579" s="429"/>
      <c r="I579" s="429"/>
      <c r="J579" s="429"/>
      <c r="K579" s="426"/>
    </row>
    <row r="580" spans="1:11" ht="14.25" customHeight="1" x14ac:dyDescent="0.25">
      <c r="A580" s="485"/>
      <c r="B580" s="419" t="s">
        <v>596</v>
      </c>
      <c r="C580" s="438"/>
      <c r="D580" s="418"/>
      <c r="E580" s="420" t="s">
        <v>662</v>
      </c>
      <c r="F580" s="421">
        <f>F581</f>
        <v>5177500</v>
      </c>
      <c r="G580" s="421">
        <f>G581</f>
        <v>0</v>
      </c>
      <c r="H580" s="421">
        <f>H581</f>
        <v>5042500</v>
      </c>
      <c r="I580" s="421">
        <f>I581</f>
        <v>5042500</v>
      </c>
      <c r="J580" s="421">
        <f>J581</f>
        <v>135000</v>
      </c>
      <c r="K580" s="418"/>
    </row>
    <row r="581" spans="1:11" hidden="1" x14ac:dyDescent="0.25">
      <c r="A581" s="438"/>
      <c r="B581" s="419" t="s">
        <v>596</v>
      </c>
      <c r="C581" s="419" t="s">
        <v>359</v>
      </c>
      <c r="D581" s="418"/>
      <c r="E581" s="420" t="s">
        <v>67</v>
      </c>
      <c r="F581" s="421">
        <f>F582+F587</f>
        <v>5177500</v>
      </c>
      <c r="G581" s="421">
        <f>G582+G587</f>
        <v>0</v>
      </c>
      <c r="H581" s="421">
        <f>H582+H587</f>
        <v>5042500</v>
      </c>
      <c r="I581" s="421">
        <f>I582+I587</f>
        <v>5042500</v>
      </c>
      <c r="J581" s="421">
        <f>J582+J587</f>
        <v>135000</v>
      </c>
      <c r="K581" s="418"/>
    </row>
    <row r="582" spans="1:11" hidden="1" x14ac:dyDescent="0.25">
      <c r="A582" s="438"/>
      <c r="B582" s="423" t="s">
        <v>596</v>
      </c>
      <c r="C582" s="423" t="s">
        <v>360</v>
      </c>
      <c r="D582" s="422"/>
      <c r="E582" s="424" t="s">
        <v>361</v>
      </c>
      <c r="F582" s="425">
        <f>SUM(F583:F586)</f>
        <v>4337500</v>
      </c>
      <c r="G582" s="425">
        <f>SUM(G583:G586)</f>
        <v>0</v>
      </c>
      <c r="H582" s="425">
        <f>SUM(H583:H586)</f>
        <v>4202500</v>
      </c>
      <c r="I582" s="425">
        <f>SUM(I583:I586)</f>
        <v>4202500</v>
      </c>
      <c r="J582" s="425">
        <f>SUM(J583:J586)</f>
        <v>135000</v>
      </c>
      <c r="K582" s="422"/>
    </row>
    <row r="583" spans="1:11" hidden="1" x14ac:dyDescent="0.25">
      <c r="A583" s="440"/>
      <c r="B583" s="427" t="s">
        <v>596</v>
      </c>
      <c r="C583" s="427" t="s">
        <v>366</v>
      </c>
      <c r="D583" s="426"/>
      <c r="E583" s="428" t="s">
        <v>367</v>
      </c>
      <c r="F583" s="429">
        <v>240000</v>
      </c>
      <c r="G583" s="429">
        <v>0</v>
      </c>
      <c r="H583" s="429">
        <f>[2]Nov!I633</f>
        <v>240000</v>
      </c>
      <c r="I583" s="429">
        <f t="shared" ref="I583:I586" si="251">G583+H583</f>
        <v>240000</v>
      </c>
      <c r="J583" s="429">
        <f t="shared" ref="J583:J586" si="252">F583-I583</f>
        <v>0</v>
      </c>
      <c r="K583" s="426"/>
    </row>
    <row r="584" spans="1:11" hidden="1" x14ac:dyDescent="0.25">
      <c r="A584" s="439"/>
      <c r="B584" s="427" t="s">
        <v>596</v>
      </c>
      <c r="C584" s="427" t="s">
        <v>368</v>
      </c>
      <c r="D584" s="426"/>
      <c r="E584" s="428" t="s">
        <v>369</v>
      </c>
      <c r="F584" s="429">
        <v>2762500</v>
      </c>
      <c r="G584" s="429">
        <v>0</v>
      </c>
      <c r="H584" s="429">
        <f>[2]Nov!I634</f>
        <v>2762500</v>
      </c>
      <c r="I584" s="429">
        <f t="shared" si="251"/>
        <v>2762500</v>
      </c>
      <c r="J584" s="429">
        <f t="shared" si="252"/>
        <v>0</v>
      </c>
      <c r="K584" s="426"/>
    </row>
    <row r="585" spans="1:11" hidden="1" x14ac:dyDescent="0.25">
      <c r="A585" s="439"/>
      <c r="B585" s="427" t="s">
        <v>596</v>
      </c>
      <c r="C585" s="427" t="s">
        <v>597</v>
      </c>
      <c r="D585" s="426"/>
      <c r="E585" s="428" t="s">
        <v>598</v>
      </c>
      <c r="F585" s="429">
        <v>785000</v>
      </c>
      <c r="G585" s="429">
        <v>0</v>
      </c>
      <c r="H585" s="429">
        <f>[2]Nov!I635</f>
        <v>650000</v>
      </c>
      <c r="I585" s="429">
        <f t="shared" si="251"/>
        <v>650000</v>
      </c>
      <c r="J585" s="429">
        <f t="shared" si="252"/>
        <v>135000</v>
      </c>
      <c r="K585" s="426"/>
    </row>
    <row r="586" spans="1:11" hidden="1" x14ac:dyDescent="0.25">
      <c r="A586" s="439"/>
      <c r="B586" s="427" t="s">
        <v>596</v>
      </c>
      <c r="C586" s="427" t="s">
        <v>487</v>
      </c>
      <c r="D586" s="426"/>
      <c r="E586" s="428" t="s">
        <v>488</v>
      </c>
      <c r="F586" s="429">
        <v>550000</v>
      </c>
      <c r="G586" s="429">
        <v>0</v>
      </c>
      <c r="H586" s="429">
        <f>[2]Nov!I636</f>
        <v>550000</v>
      </c>
      <c r="I586" s="429">
        <f t="shared" si="251"/>
        <v>550000</v>
      </c>
      <c r="J586" s="429">
        <f t="shared" si="252"/>
        <v>0</v>
      </c>
      <c r="K586" s="426"/>
    </row>
    <row r="587" spans="1:11" hidden="1" x14ac:dyDescent="0.25">
      <c r="A587" s="439"/>
      <c r="B587" s="423" t="s">
        <v>596</v>
      </c>
      <c r="C587" s="423" t="s">
        <v>370</v>
      </c>
      <c r="D587" s="422"/>
      <c r="E587" s="424" t="s">
        <v>81</v>
      </c>
      <c r="F587" s="425">
        <f>SUM(F588:F589)</f>
        <v>840000</v>
      </c>
      <c r="G587" s="425">
        <f>SUM(G588:G589)</f>
        <v>0</v>
      </c>
      <c r="H587" s="425">
        <f>SUM(H588:H589)</f>
        <v>840000</v>
      </c>
      <c r="I587" s="425">
        <f>SUM(I588:I589)</f>
        <v>840000</v>
      </c>
      <c r="J587" s="425">
        <f>SUM(J588:J589)</f>
        <v>0</v>
      </c>
      <c r="K587" s="422"/>
    </row>
    <row r="588" spans="1:11" hidden="1" x14ac:dyDescent="0.25">
      <c r="A588" s="440"/>
      <c r="B588" s="427" t="s">
        <v>596</v>
      </c>
      <c r="C588" s="427" t="s">
        <v>476</v>
      </c>
      <c r="D588" s="426"/>
      <c r="E588" s="428" t="s">
        <v>477</v>
      </c>
      <c r="F588" s="429">
        <v>450000</v>
      </c>
      <c r="G588" s="429">
        <v>0</v>
      </c>
      <c r="H588" s="429">
        <f>[2]Nov!I638</f>
        <v>450000</v>
      </c>
      <c r="I588" s="429">
        <f t="shared" ref="I588:I589" si="253">G588+H588</f>
        <v>450000</v>
      </c>
      <c r="J588" s="429">
        <f t="shared" ref="J588:J589" si="254">F588-I588</f>
        <v>0</v>
      </c>
      <c r="K588" s="426"/>
    </row>
    <row r="589" spans="1:11" hidden="1" x14ac:dyDescent="0.25">
      <c r="A589" s="439"/>
      <c r="B589" s="427" t="s">
        <v>596</v>
      </c>
      <c r="C589" s="427" t="s">
        <v>478</v>
      </c>
      <c r="D589" s="426"/>
      <c r="E589" s="428" t="s">
        <v>479</v>
      </c>
      <c r="F589" s="429">
        <v>390000</v>
      </c>
      <c r="G589" s="429">
        <v>0</v>
      </c>
      <c r="H589" s="429">
        <f>[2]Nov!I639</f>
        <v>390000</v>
      </c>
      <c r="I589" s="429">
        <f t="shared" si="253"/>
        <v>390000</v>
      </c>
      <c r="J589" s="429">
        <f t="shared" si="254"/>
        <v>0</v>
      </c>
      <c r="K589" s="426"/>
    </row>
    <row r="590" spans="1:11" hidden="1" x14ac:dyDescent="0.25">
      <c r="A590" s="439"/>
      <c r="B590" s="427"/>
      <c r="C590" s="427"/>
      <c r="D590" s="426"/>
      <c r="E590" s="428"/>
      <c r="F590" s="429"/>
      <c r="G590" s="429"/>
      <c r="H590" s="429"/>
      <c r="I590" s="429"/>
      <c r="J590" s="429"/>
      <c r="K590" s="426"/>
    </row>
    <row r="591" spans="1:11" x14ac:dyDescent="0.25">
      <c r="A591" s="439"/>
      <c r="B591" s="419" t="s">
        <v>599</v>
      </c>
      <c r="C591" s="438"/>
      <c r="D591" s="420" t="s">
        <v>116</v>
      </c>
      <c r="E591" s="418"/>
      <c r="F591" s="421">
        <f t="shared" ref="F591:J592" si="255">F592</f>
        <v>900000</v>
      </c>
      <c r="G591" s="421">
        <f t="shared" si="255"/>
        <v>0</v>
      </c>
      <c r="H591" s="421">
        <f t="shared" si="255"/>
        <v>900000</v>
      </c>
      <c r="I591" s="421">
        <f t="shared" si="255"/>
        <v>900000</v>
      </c>
      <c r="J591" s="421">
        <f t="shared" si="255"/>
        <v>0</v>
      </c>
      <c r="K591" s="418"/>
    </row>
    <row r="592" spans="1:11" x14ac:dyDescent="0.25">
      <c r="A592" s="438"/>
      <c r="B592" s="419" t="s">
        <v>600</v>
      </c>
      <c r="C592" s="438"/>
      <c r="D592" s="418"/>
      <c r="E592" s="420" t="s">
        <v>601</v>
      </c>
      <c r="F592" s="421">
        <f t="shared" si="255"/>
        <v>900000</v>
      </c>
      <c r="G592" s="421">
        <f t="shared" si="255"/>
        <v>0</v>
      </c>
      <c r="H592" s="421">
        <f t="shared" si="255"/>
        <v>900000</v>
      </c>
      <c r="I592" s="421">
        <f t="shared" si="255"/>
        <v>900000</v>
      </c>
      <c r="J592" s="421">
        <f t="shared" si="255"/>
        <v>0</v>
      </c>
      <c r="K592" s="418"/>
    </row>
    <row r="593" spans="1:11" hidden="1" x14ac:dyDescent="0.25">
      <c r="A593" s="438"/>
      <c r="B593" s="419" t="s">
        <v>600</v>
      </c>
      <c r="C593" s="419" t="s">
        <v>359</v>
      </c>
      <c r="D593" s="418"/>
      <c r="E593" s="420" t="s">
        <v>67</v>
      </c>
      <c r="F593" s="421">
        <f>F594+F597</f>
        <v>900000</v>
      </c>
      <c r="G593" s="421">
        <f>G594+G597</f>
        <v>0</v>
      </c>
      <c r="H593" s="421">
        <f>H594+H597</f>
        <v>900000</v>
      </c>
      <c r="I593" s="421">
        <f>I594+I597</f>
        <v>900000</v>
      </c>
      <c r="J593" s="421">
        <f>J594+J597</f>
        <v>0</v>
      </c>
      <c r="K593" s="418"/>
    </row>
    <row r="594" spans="1:11" hidden="1" x14ac:dyDescent="0.25">
      <c r="A594" s="438"/>
      <c r="B594" s="423" t="s">
        <v>600</v>
      </c>
      <c r="C594" s="423" t="s">
        <v>360</v>
      </c>
      <c r="D594" s="422"/>
      <c r="E594" s="424" t="s">
        <v>361</v>
      </c>
      <c r="F594" s="425">
        <f>SUM(F595:F596)</f>
        <v>315000</v>
      </c>
      <c r="G594" s="425">
        <f>SUM(G595:G596)</f>
        <v>0</v>
      </c>
      <c r="H594" s="425">
        <f>SUM(H595:H596)</f>
        <v>315000</v>
      </c>
      <c r="I594" s="425">
        <f>SUM(I595:I596)</f>
        <v>315000</v>
      </c>
      <c r="J594" s="425">
        <f>SUM(J595:J596)</f>
        <v>0</v>
      </c>
      <c r="K594" s="422"/>
    </row>
    <row r="595" spans="1:11" hidden="1" x14ac:dyDescent="0.25">
      <c r="A595" s="440"/>
      <c r="B595" s="427" t="s">
        <v>600</v>
      </c>
      <c r="C595" s="427" t="s">
        <v>366</v>
      </c>
      <c r="D595" s="426"/>
      <c r="E595" s="428" t="s">
        <v>367</v>
      </c>
      <c r="F595" s="429">
        <v>75000</v>
      </c>
      <c r="G595" s="429">
        <v>0</v>
      </c>
      <c r="H595" s="429">
        <f>[2]Nov!I645</f>
        <v>75000</v>
      </c>
      <c r="I595" s="429">
        <f t="shared" ref="I595:I596" si="256">G595+H595</f>
        <v>75000</v>
      </c>
      <c r="J595" s="429">
        <f t="shared" ref="J595:J596" si="257">F595-I595</f>
        <v>0</v>
      </c>
      <c r="K595" s="426"/>
    </row>
    <row r="596" spans="1:11" hidden="1" x14ac:dyDescent="0.25">
      <c r="A596" s="439"/>
      <c r="B596" s="427" t="s">
        <v>600</v>
      </c>
      <c r="C596" s="427" t="s">
        <v>368</v>
      </c>
      <c r="D596" s="426"/>
      <c r="E596" s="428" t="s">
        <v>369</v>
      </c>
      <c r="F596" s="429">
        <v>240000</v>
      </c>
      <c r="G596" s="429">
        <v>0</v>
      </c>
      <c r="H596" s="429">
        <f>[2]Nov!I646</f>
        <v>240000</v>
      </c>
      <c r="I596" s="429">
        <f t="shared" si="256"/>
        <v>240000</v>
      </c>
      <c r="J596" s="429">
        <f t="shared" si="257"/>
        <v>0</v>
      </c>
      <c r="K596" s="426"/>
    </row>
    <row r="597" spans="1:11" hidden="1" x14ac:dyDescent="0.25">
      <c r="A597" s="439"/>
      <c r="B597" s="423" t="s">
        <v>600</v>
      </c>
      <c r="C597" s="423" t="s">
        <v>370</v>
      </c>
      <c r="D597" s="422"/>
      <c r="E597" s="424" t="s">
        <v>81</v>
      </c>
      <c r="F597" s="425">
        <f>SUM(F598:F599)</f>
        <v>585000</v>
      </c>
      <c r="G597" s="425">
        <f>SUM(G598:G599)</f>
        <v>0</v>
      </c>
      <c r="H597" s="425">
        <f>SUM(H598:H599)</f>
        <v>585000</v>
      </c>
      <c r="I597" s="425">
        <f>SUM(I598:I599)</f>
        <v>585000</v>
      </c>
      <c r="J597" s="425">
        <f>SUM(J598:J599)</f>
        <v>0</v>
      </c>
      <c r="K597" s="422"/>
    </row>
    <row r="598" spans="1:11" hidden="1" x14ac:dyDescent="0.25">
      <c r="A598" s="440"/>
      <c r="B598" s="427" t="s">
        <v>600</v>
      </c>
      <c r="C598" s="427" t="s">
        <v>476</v>
      </c>
      <c r="D598" s="426"/>
      <c r="E598" s="428" t="s">
        <v>477</v>
      </c>
      <c r="F598" s="429">
        <v>450000</v>
      </c>
      <c r="G598" s="429">
        <v>0</v>
      </c>
      <c r="H598" s="429">
        <f>[2]Nov!I648</f>
        <v>450000</v>
      </c>
      <c r="I598" s="429">
        <f t="shared" ref="I598:I599" si="258">G598+H598</f>
        <v>450000</v>
      </c>
      <c r="J598" s="429">
        <f t="shared" ref="J598:J599" si="259">F598-I598</f>
        <v>0</v>
      </c>
      <c r="K598" s="426"/>
    </row>
    <row r="599" spans="1:11" hidden="1" x14ac:dyDescent="0.25">
      <c r="A599" s="439"/>
      <c r="B599" s="451" t="s">
        <v>600</v>
      </c>
      <c r="C599" s="451" t="s">
        <v>478</v>
      </c>
      <c r="D599" s="452"/>
      <c r="E599" s="453" t="s">
        <v>479</v>
      </c>
      <c r="F599" s="454">
        <v>135000</v>
      </c>
      <c r="G599" s="454">
        <v>0</v>
      </c>
      <c r="H599" s="429">
        <f>[2]Nov!I649</f>
        <v>135000</v>
      </c>
      <c r="I599" s="454">
        <f t="shared" si="258"/>
        <v>135000</v>
      </c>
      <c r="J599" s="454">
        <f t="shared" si="259"/>
        <v>0</v>
      </c>
      <c r="K599" s="452"/>
    </row>
    <row r="600" spans="1:11" hidden="1" x14ac:dyDescent="0.25">
      <c r="A600" s="450"/>
      <c r="B600" s="427"/>
      <c r="C600" s="427"/>
      <c r="D600" s="426"/>
      <c r="E600" s="428"/>
      <c r="F600" s="429"/>
      <c r="G600" s="429"/>
      <c r="H600" s="429"/>
      <c r="I600" s="429"/>
      <c r="J600" s="429"/>
      <c r="K600" s="426"/>
    </row>
    <row r="601" spans="1:11" x14ac:dyDescent="0.25">
      <c r="A601" s="439"/>
      <c r="B601" s="456" t="s">
        <v>602</v>
      </c>
      <c r="C601" s="455"/>
      <c r="D601" s="458" t="s">
        <v>117</v>
      </c>
      <c r="E601" s="457"/>
      <c r="F601" s="459">
        <f>F602+F614+F625</f>
        <v>24400000</v>
      </c>
      <c r="G601" s="459">
        <f>G602+G614+G625</f>
        <v>18565000</v>
      </c>
      <c r="H601" s="459">
        <f>H602+H614+H625</f>
        <v>5835000</v>
      </c>
      <c r="I601" s="459">
        <f>I602+I614+I625</f>
        <v>24400000</v>
      </c>
      <c r="J601" s="459">
        <f>J602+J614+J625</f>
        <v>0</v>
      </c>
      <c r="K601" s="457"/>
    </row>
    <row r="602" spans="1:11" x14ac:dyDescent="0.25">
      <c r="A602" s="455"/>
      <c r="B602" s="419" t="s">
        <v>603</v>
      </c>
      <c r="C602" s="438"/>
      <c r="D602" s="418"/>
      <c r="E602" s="420" t="s">
        <v>604</v>
      </c>
      <c r="F602" s="421">
        <f>F603</f>
        <v>5835000</v>
      </c>
      <c r="G602" s="421">
        <f>G603</f>
        <v>0</v>
      </c>
      <c r="H602" s="421">
        <f>H603</f>
        <v>5835000</v>
      </c>
      <c r="I602" s="421">
        <f>I603</f>
        <v>5835000</v>
      </c>
      <c r="J602" s="421">
        <f>J603</f>
        <v>0</v>
      </c>
      <c r="K602" s="418"/>
    </row>
    <row r="603" spans="1:11" hidden="1" x14ac:dyDescent="0.25">
      <c r="A603" s="438"/>
      <c r="B603" s="419" t="s">
        <v>603</v>
      </c>
      <c r="C603" s="419" t="s">
        <v>359</v>
      </c>
      <c r="D603" s="418"/>
      <c r="E603" s="420" t="s">
        <v>67</v>
      </c>
      <c r="F603" s="421">
        <f>F604+F607+F610</f>
        <v>5835000</v>
      </c>
      <c r="G603" s="421">
        <f>G604+G607+G610</f>
        <v>0</v>
      </c>
      <c r="H603" s="421">
        <f>H604+H607+H610</f>
        <v>5835000</v>
      </c>
      <c r="I603" s="421">
        <f>I604+I607+I610</f>
        <v>5835000</v>
      </c>
      <c r="J603" s="421">
        <f>J604+J607+J610</f>
        <v>0</v>
      </c>
      <c r="K603" s="418"/>
    </row>
    <row r="604" spans="1:11" hidden="1" x14ac:dyDescent="0.25">
      <c r="A604" s="438"/>
      <c r="B604" s="423" t="s">
        <v>603</v>
      </c>
      <c r="C604" s="423" t="s">
        <v>360</v>
      </c>
      <c r="D604" s="422"/>
      <c r="E604" s="424" t="s">
        <v>361</v>
      </c>
      <c r="F604" s="425">
        <f>SUM(F605:F606)</f>
        <v>5835000</v>
      </c>
      <c r="G604" s="425">
        <f>SUM(G605:G606)</f>
        <v>0</v>
      </c>
      <c r="H604" s="425">
        <f>SUM(H605:H606)</f>
        <v>5835000</v>
      </c>
      <c r="I604" s="425">
        <f>SUM(I605:I606)</f>
        <v>5835000</v>
      </c>
      <c r="J604" s="425">
        <f>SUM(J605:J606)</f>
        <v>0</v>
      </c>
      <c r="K604" s="422"/>
    </row>
    <row r="605" spans="1:11" hidden="1" x14ac:dyDescent="0.25">
      <c r="A605" s="440"/>
      <c r="B605" s="427" t="s">
        <v>603</v>
      </c>
      <c r="C605" s="427" t="s">
        <v>366</v>
      </c>
      <c r="D605" s="426"/>
      <c r="E605" s="428" t="s">
        <v>367</v>
      </c>
      <c r="F605" s="429">
        <v>75000</v>
      </c>
      <c r="G605" s="429">
        <v>0</v>
      </c>
      <c r="H605" s="429">
        <f>[2]Nov!I655</f>
        <v>75000</v>
      </c>
      <c r="I605" s="429">
        <f t="shared" ref="I605:I606" si="260">G605+H605</f>
        <v>75000</v>
      </c>
      <c r="J605" s="429">
        <f t="shared" ref="J605:J606" si="261">F605-I605</f>
        <v>0</v>
      </c>
      <c r="K605" s="426"/>
    </row>
    <row r="606" spans="1:11" hidden="1" x14ac:dyDescent="0.25">
      <c r="A606" s="439"/>
      <c r="B606" s="427" t="s">
        <v>603</v>
      </c>
      <c r="C606" s="427" t="s">
        <v>368</v>
      </c>
      <c r="D606" s="426"/>
      <c r="E606" s="428" t="s">
        <v>369</v>
      </c>
      <c r="F606" s="429">
        <v>5760000</v>
      </c>
      <c r="G606" s="429">
        <v>0</v>
      </c>
      <c r="H606" s="429">
        <f>[2]Nov!I656</f>
        <v>5760000</v>
      </c>
      <c r="I606" s="429">
        <f t="shared" si="260"/>
        <v>5760000</v>
      </c>
      <c r="J606" s="429">
        <f t="shared" si="261"/>
        <v>0</v>
      </c>
      <c r="K606" s="426"/>
    </row>
    <row r="607" spans="1:11" hidden="1" x14ac:dyDescent="0.25">
      <c r="A607" s="439"/>
      <c r="B607" s="423" t="s">
        <v>603</v>
      </c>
      <c r="C607" s="423" t="s">
        <v>370</v>
      </c>
      <c r="D607" s="422"/>
      <c r="E607" s="424" t="s">
        <v>81</v>
      </c>
      <c r="F607" s="425">
        <f>SUM(F608:F609)</f>
        <v>0</v>
      </c>
      <c r="G607" s="425">
        <f>SUM(G608:G609)</f>
        <v>0</v>
      </c>
      <c r="H607" s="425">
        <f>SUM(H608:H609)</f>
        <v>0</v>
      </c>
      <c r="I607" s="425">
        <f>SUM(I608:I609)</f>
        <v>0</v>
      </c>
      <c r="J607" s="425">
        <f>SUM(J608:J609)</f>
        <v>0</v>
      </c>
      <c r="K607" s="422"/>
    </row>
    <row r="608" spans="1:11" hidden="1" x14ac:dyDescent="0.25">
      <c r="A608" s="440"/>
      <c r="B608" s="427" t="s">
        <v>603</v>
      </c>
      <c r="C608" s="427" t="s">
        <v>476</v>
      </c>
      <c r="D608" s="426"/>
      <c r="E608" s="428" t="s">
        <v>477</v>
      </c>
      <c r="F608" s="429">
        <v>0</v>
      </c>
      <c r="G608" s="429">
        <v>0</v>
      </c>
      <c r="H608" s="429">
        <f>[2]Nov!I658</f>
        <v>0</v>
      </c>
      <c r="I608" s="429">
        <f t="shared" ref="I608:I609" si="262">G608+H608</f>
        <v>0</v>
      </c>
      <c r="J608" s="429">
        <f t="shared" ref="J608:J609" si="263">F608-I608</f>
        <v>0</v>
      </c>
      <c r="K608" s="426"/>
    </row>
    <row r="609" spans="1:11" hidden="1" x14ac:dyDescent="0.25">
      <c r="A609" s="439"/>
      <c r="B609" s="427" t="s">
        <v>603</v>
      </c>
      <c r="C609" s="427" t="s">
        <v>478</v>
      </c>
      <c r="D609" s="426"/>
      <c r="E609" s="428" t="s">
        <v>479</v>
      </c>
      <c r="F609" s="429">
        <v>0</v>
      </c>
      <c r="G609" s="429">
        <v>0</v>
      </c>
      <c r="H609" s="429">
        <f>[2]Nov!I659</f>
        <v>0</v>
      </c>
      <c r="I609" s="429">
        <f t="shared" si="262"/>
        <v>0</v>
      </c>
      <c r="J609" s="429">
        <f t="shared" si="263"/>
        <v>0</v>
      </c>
      <c r="K609" s="426"/>
    </row>
    <row r="610" spans="1:11" hidden="1" x14ac:dyDescent="0.25">
      <c r="A610" s="439"/>
      <c r="B610" s="423" t="s">
        <v>603</v>
      </c>
      <c r="C610" s="423" t="s">
        <v>460</v>
      </c>
      <c r="D610" s="422"/>
      <c r="E610" s="424" t="s">
        <v>461</v>
      </c>
      <c r="F610" s="425">
        <f>SUM(F611:F612)</f>
        <v>0</v>
      </c>
      <c r="G610" s="425">
        <f>SUM(G611:G612)</f>
        <v>0</v>
      </c>
      <c r="H610" s="425">
        <f>SUM(H611:H612)</f>
        <v>0</v>
      </c>
      <c r="I610" s="425">
        <f>SUM(I611:I612)</f>
        <v>0</v>
      </c>
      <c r="J610" s="425">
        <f>SUM(J611:J612)</f>
        <v>0</v>
      </c>
      <c r="K610" s="422"/>
    </row>
    <row r="611" spans="1:11" ht="25.5" hidden="1" x14ac:dyDescent="0.25">
      <c r="A611" s="440"/>
      <c r="B611" s="427" t="s">
        <v>603</v>
      </c>
      <c r="C611" s="427" t="s">
        <v>605</v>
      </c>
      <c r="D611" s="426"/>
      <c r="E611" s="464" t="s">
        <v>606</v>
      </c>
      <c r="F611" s="429">
        <v>0</v>
      </c>
      <c r="G611" s="429">
        <v>0</v>
      </c>
      <c r="H611" s="429">
        <f>[2]Nov!I661</f>
        <v>0</v>
      </c>
      <c r="I611" s="429">
        <f t="shared" ref="I611:I612" si="264">G611+H611</f>
        <v>0</v>
      </c>
      <c r="J611" s="429">
        <f t="shared" ref="J611:J612" si="265">F611-I611</f>
        <v>0</v>
      </c>
      <c r="K611" s="426"/>
    </row>
    <row r="612" spans="1:11" hidden="1" x14ac:dyDescent="0.25">
      <c r="A612" s="439"/>
      <c r="B612" s="427" t="s">
        <v>603</v>
      </c>
      <c r="C612" s="427" t="s">
        <v>462</v>
      </c>
      <c r="D612" s="426"/>
      <c r="E612" s="428" t="s">
        <v>463</v>
      </c>
      <c r="F612" s="429">
        <v>0</v>
      </c>
      <c r="G612" s="429">
        <v>0</v>
      </c>
      <c r="H612" s="429">
        <f>[2]Nov!I662</f>
        <v>0</v>
      </c>
      <c r="I612" s="429">
        <f t="shared" si="264"/>
        <v>0</v>
      </c>
      <c r="J612" s="429">
        <f t="shared" si="265"/>
        <v>0</v>
      </c>
      <c r="K612" s="426"/>
    </row>
    <row r="613" spans="1:11" hidden="1" x14ac:dyDescent="0.25">
      <c r="A613" s="439"/>
      <c r="B613" s="427"/>
      <c r="C613" s="427"/>
      <c r="D613" s="426"/>
      <c r="E613" s="428"/>
      <c r="F613" s="429"/>
      <c r="G613" s="429"/>
      <c r="H613" s="429"/>
      <c r="I613" s="429"/>
      <c r="J613" s="429"/>
      <c r="K613" s="426"/>
    </row>
    <row r="614" spans="1:11" x14ac:dyDescent="0.25">
      <c r="A614" s="439"/>
      <c r="B614" s="419" t="s">
        <v>607</v>
      </c>
      <c r="C614" s="438"/>
      <c r="D614" s="418"/>
      <c r="E614" s="420" t="s">
        <v>608</v>
      </c>
      <c r="F614" s="421">
        <f>F615</f>
        <v>13015000</v>
      </c>
      <c r="G614" s="421">
        <f>G615</f>
        <v>13015000</v>
      </c>
      <c r="H614" s="421">
        <f>H615</f>
        <v>0</v>
      </c>
      <c r="I614" s="421">
        <f>I615</f>
        <v>13015000</v>
      </c>
      <c r="J614" s="421">
        <f>J615</f>
        <v>0</v>
      </c>
      <c r="K614" s="426"/>
    </row>
    <row r="615" spans="1:11" ht="0.75" customHeight="1" x14ac:dyDescent="0.25">
      <c r="A615" s="439"/>
      <c r="B615" s="419" t="s">
        <v>607</v>
      </c>
      <c r="C615" s="419" t="s">
        <v>359</v>
      </c>
      <c r="D615" s="418"/>
      <c r="E615" s="420" t="s">
        <v>67</v>
      </c>
      <c r="F615" s="421">
        <f>F616+F621</f>
        <v>13015000</v>
      </c>
      <c r="G615" s="421">
        <f>G616+G621</f>
        <v>13015000</v>
      </c>
      <c r="H615" s="421">
        <f>H616+H621</f>
        <v>0</v>
      </c>
      <c r="I615" s="421">
        <f>I616+I621</f>
        <v>13015000</v>
      </c>
      <c r="J615" s="421">
        <f>J616+J621</f>
        <v>0</v>
      </c>
      <c r="K615" s="426"/>
    </row>
    <row r="616" spans="1:11" hidden="1" x14ac:dyDescent="0.25">
      <c r="A616" s="439"/>
      <c r="B616" s="423" t="s">
        <v>607</v>
      </c>
      <c r="C616" s="423" t="s">
        <v>360</v>
      </c>
      <c r="D616" s="422"/>
      <c r="E616" s="424" t="s">
        <v>361</v>
      </c>
      <c r="F616" s="425">
        <f>SUM(F617:F619)</f>
        <v>565000</v>
      </c>
      <c r="G616" s="425">
        <f>SUM(G617:G619)</f>
        <v>565000</v>
      </c>
      <c r="H616" s="425">
        <f>SUM(H617:H619)</f>
        <v>0</v>
      </c>
      <c r="I616" s="425">
        <f>SUM(I617:I619)</f>
        <v>565000</v>
      </c>
      <c r="J616" s="425">
        <f>SUM(J617:J619)</f>
        <v>0</v>
      </c>
      <c r="K616" s="426"/>
    </row>
    <row r="617" spans="1:11" hidden="1" x14ac:dyDescent="0.25">
      <c r="A617" s="439"/>
      <c r="B617" s="427" t="s">
        <v>607</v>
      </c>
      <c r="C617" s="427" t="s">
        <v>362</v>
      </c>
      <c r="D617" s="426"/>
      <c r="E617" s="428" t="s">
        <v>363</v>
      </c>
      <c r="F617" s="429">
        <v>55000</v>
      </c>
      <c r="G617" s="429">
        <v>55000</v>
      </c>
      <c r="H617" s="429">
        <f>[2]Nov!I667</f>
        <v>0</v>
      </c>
      <c r="I617" s="429">
        <f>G617+H617</f>
        <v>55000</v>
      </c>
      <c r="J617" s="429">
        <f t="shared" ref="J617:J619" si="266">F617-I617</f>
        <v>0</v>
      </c>
      <c r="K617" s="426"/>
    </row>
    <row r="618" spans="1:11" hidden="1" x14ac:dyDescent="0.25">
      <c r="A618" s="439"/>
      <c r="B618" s="427" t="s">
        <v>607</v>
      </c>
      <c r="C618" s="427" t="s">
        <v>366</v>
      </c>
      <c r="D618" s="426"/>
      <c r="E618" s="428" t="s">
        <v>367</v>
      </c>
      <c r="F618" s="429">
        <v>60000</v>
      </c>
      <c r="G618" s="429">
        <v>60000</v>
      </c>
      <c r="H618" s="429">
        <f>[2]Nov!I668</f>
        <v>0</v>
      </c>
      <c r="I618" s="429">
        <f>G618+H618</f>
        <v>60000</v>
      </c>
      <c r="J618" s="429">
        <f t="shared" si="266"/>
        <v>0</v>
      </c>
      <c r="K618" s="426"/>
    </row>
    <row r="619" spans="1:11" hidden="1" x14ac:dyDescent="0.25">
      <c r="A619" s="439"/>
      <c r="B619" s="427" t="s">
        <v>607</v>
      </c>
      <c r="C619" s="427" t="s">
        <v>368</v>
      </c>
      <c r="D619" s="426"/>
      <c r="E619" s="428" t="s">
        <v>369</v>
      </c>
      <c r="F619" s="429">
        <v>450000</v>
      </c>
      <c r="G619" s="429">
        <v>450000</v>
      </c>
      <c r="H619" s="429">
        <f>[2]Nov!I669</f>
        <v>0</v>
      </c>
      <c r="I619" s="429">
        <f>G619+H619</f>
        <v>450000</v>
      </c>
      <c r="J619" s="429">
        <f t="shared" si="266"/>
        <v>0</v>
      </c>
      <c r="K619" s="426"/>
    </row>
    <row r="620" spans="1:11" hidden="1" x14ac:dyDescent="0.25">
      <c r="A620" s="477"/>
      <c r="B620" s="427"/>
      <c r="C620" s="427"/>
      <c r="D620" s="426"/>
      <c r="E620" s="428"/>
      <c r="F620" s="429"/>
      <c r="G620" s="429"/>
      <c r="H620" s="429"/>
      <c r="I620" s="429"/>
      <c r="J620" s="429"/>
      <c r="K620" s="426"/>
    </row>
    <row r="621" spans="1:11" hidden="1" x14ac:dyDescent="0.25">
      <c r="A621" s="485"/>
      <c r="B621" s="423" t="s">
        <v>607</v>
      </c>
      <c r="C621" s="423" t="s">
        <v>460</v>
      </c>
      <c r="D621" s="422"/>
      <c r="E621" s="424" t="s">
        <v>461</v>
      </c>
      <c r="F621" s="425">
        <f>SUM(F622:F623)</f>
        <v>12450000</v>
      </c>
      <c r="G621" s="425">
        <f>SUM(G622:G623)</f>
        <v>12450000</v>
      </c>
      <c r="H621" s="425">
        <f>SUM(H622:H623)</f>
        <v>0</v>
      </c>
      <c r="I621" s="425">
        <f>SUM(I622:I623)</f>
        <v>12450000</v>
      </c>
      <c r="J621" s="425">
        <f>SUM(J622:J623)</f>
        <v>0</v>
      </c>
      <c r="K621" s="426"/>
    </row>
    <row r="622" spans="1:11" hidden="1" x14ac:dyDescent="0.25">
      <c r="A622" s="439"/>
      <c r="B622" s="427" t="s">
        <v>607</v>
      </c>
      <c r="C622" s="427" t="s">
        <v>594</v>
      </c>
      <c r="D622" s="426"/>
      <c r="E622" s="428" t="s">
        <v>595</v>
      </c>
      <c r="F622" s="429">
        <v>6450000</v>
      </c>
      <c r="G622" s="429">
        <v>6450000</v>
      </c>
      <c r="H622" s="429">
        <f>[2]Nov!I674</f>
        <v>0</v>
      </c>
      <c r="I622" s="429">
        <f>G622+H622</f>
        <v>6450000</v>
      </c>
      <c r="J622" s="429">
        <f t="shared" ref="J622:J623" si="267">F622-I622</f>
        <v>0</v>
      </c>
      <c r="K622" s="426"/>
    </row>
    <row r="623" spans="1:11" hidden="1" x14ac:dyDescent="0.25">
      <c r="A623" s="439"/>
      <c r="B623" s="427" t="s">
        <v>607</v>
      </c>
      <c r="C623" s="427" t="s">
        <v>462</v>
      </c>
      <c r="D623" s="426"/>
      <c r="E623" s="428" t="s">
        <v>479</v>
      </c>
      <c r="F623" s="429">
        <v>6000000</v>
      </c>
      <c r="G623" s="429">
        <v>6000000</v>
      </c>
      <c r="H623" s="429">
        <f>[2]Nov!I675</f>
        <v>0</v>
      </c>
      <c r="I623" s="429">
        <f>G623+H623</f>
        <v>6000000</v>
      </c>
      <c r="J623" s="429">
        <f t="shared" si="267"/>
        <v>0</v>
      </c>
      <c r="K623" s="426"/>
    </row>
    <row r="624" spans="1:11" hidden="1" x14ac:dyDescent="0.25">
      <c r="A624" s="439"/>
      <c r="B624" s="427"/>
      <c r="C624" s="427"/>
      <c r="D624" s="426"/>
      <c r="E624" s="428"/>
      <c r="F624" s="429"/>
      <c r="G624" s="429"/>
      <c r="H624" s="429"/>
      <c r="I624" s="429"/>
      <c r="J624" s="429"/>
      <c r="K624" s="426"/>
    </row>
    <row r="625" spans="1:11" x14ac:dyDescent="0.25">
      <c r="A625" s="439"/>
      <c r="B625" s="419" t="s">
        <v>609</v>
      </c>
      <c r="C625" s="438"/>
      <c r="D625" s="418"/>
      <c r="E625" s="420" t="s">
        <v>610</v>
      </c>
      <c r="F625" s="421">
        <f>F626</f>
        <v>5550000</v>
      </c>
      <c r="G625" s="421">
        <f>G626</f>
        <v>5550000</v>
      </c>
      <c r="H625" s="421">
        <f>H626</f>
        <v>0</v>
      </c>
      <c r="I625" s="421">
        <f>I626</f>
        <v>5550000</v>
      </c>
      <c r="J625" s="421">
        <f>J626</f>
        <v>0</v>
      </c>
      <c r="K625" s="418"/>
    </row>
    <row r="626" spans="1:11" hidden="1" x14ac:dyDescent="0.25">
      <c r="A626" s="438"/>
      <c r="B626" s="419" t="s">
        <v>609</v>
      </c>
      <c r="C626" s="419" t="s">
        <v>359</v>
      </c>
      <c r="D626" s="418"/>
      <c r="E626" s="420" t="s">
        <v>67</v>
      </c>
      <c r="F626" s="421">
        <f>F627+F630</f>
        <v>5550000</v>
      </c>
      <c r="G626" s="421">
        <f>G627+G630</f>
        <v>5550000</v>
      </c>
      <c r="H626" s="421">
        <f>H627+H630</f>
        <v>0</v>
      </c>
      <c r="I626" s="421">
        <f>I627+I630</f>
        <v>5550000</v>
      </c>
      <c r="J626" s="421">
        <f>J627+J630</f>
        <v>0</v>
      </c>
      <c r="K626" s="418"/>
    </row>
    <row r="627" spans="1:11" hidden="1" x14ac:dyDescent="0.25">
      <c r="A627" s="438"/>
      <c r="B627" s="423" t="s">
        <v>609</v>
      </c>
      <c r="C627" s="423" t="s">
        <v>360</v>
      </c>
      <c r="D627" s="422"/>
      <c r="E627" s="424" t="s">
        <v>361</v>
      </c>
      <c r="F627" s="425">
        <f>SUM(F628:F629)</f>
        <v>3000000</v>
      </c>
      <c r="G627" s="425">
        <f>SUM(G628:G629)</f>
        <v>3000000</v>
      </c>
      <c r="H627" s="425">
        <f>SUM(H628:H629)</f>
        <v>0</v>
      </c>
      <c r="I627" s="425">
        <f>SUM(I628:I629)</f>
        <v>3000000</v>
      </c>
      <c r="J627" s="425">
        <f>SUM(J628:J629)</f>
        <v>0</v>
      </c>
      <c r="K627" s="422"/>
    </row>
    <row r="628" spans="1:11" hidden="1" x14ac:dyDescent="0.25">
      <c r="A628" s="440"/>
      <c r="B628" s="427" t="s">
        <v>609</v>
      </c>
      <c r="C628" s="427" t="s">
        <v>366</v>
      </c>
      <c r="D628" s="426"/>
      <c r="E628" s="428" t="s">
        <v>367</v>
      </c>
      <c r="F628" s="429">
        <v>140000</v>
      </c>
      <c r="G628" s="429">
        <f>65000+75000</f>
        <v>140000</v>
      </c>
      <c r="H628" s="429">
        <f>[2]Nov!I680</f>
        <v>0</v>
      </c>
      <c r="I628" s="429">
        <f t="shared" ref="I628:I629" si="268">G628+H628</f>
        <v>140000</v>
      </c>
      <c r="J628" s="429">
        <f t="shared" ref="J628:J629" si="269">F628-I628</f>
        <v>0</v>
      </c>
      <c r="K628" s="426"/>
    </row>
    <row r="629" spans="1:11" hidden="1" x14ac:dyDescent="0.25">
      <c r="A629" s="439"/>
      <c r="B629" s="427" t="s">
        <v>609</v>
      </c>
      <c r="C629" s="427" t="s">
        <v>368</v>
      </c>
      <c r="D629" s="426"/>
      <c r="E629" s="428" t="s">
        <v>369</v>
      </c>
      <c r="F629" s="429">
        <v>2860000</v>
      </c>
      <c r="G629" s="429">
        <v>2860000</v>
      </c>
      <c r="H629" s="429">
        <f>[2]Nov!I681</f>
        <v>0</v>
      </c>
      <c r="I629" s="429">
        <f t="shared" si="268"/>
        <v>2860000</v>
      </c>
      <c r="J629" s="429">
        <f t="shared" si="269"/>
        <v>0</v>
      </c>
      <c r="K629" s="426"/>
    </row>
    <row r="630" spans="1:11" hidden="1" x14ac:dyDescent="0.25">
      <c r="A630" s="439"/>
      <c r="B630" s="423" t="s">
        <v>609</v>
      </c>
      <c r="C630" s="423" t="s">
        <v>370</v>
      </c>
      <c r="D630" s="422"/>
      <c r="E630" s="424" t="s">
        <v>81</v>
      </c>
      <c r="F630" s="425">
        <f>SUM(F631:F632)</f>
        <v>2550000</v>
      </c>
      <c r="G630" s="425">
        <f>SUM(G631:G632)</f>
        <v>2550000</v>
      </c>
      <c r="H630" s="425">
        <f>SUM(H631:H632)</f>
        <v>0</v>
      </c>
      <c r="I630" s="425">
        <f>SUM(I631:I632)</f>
        <v>2550000</v>
      </c>
      <c r="J630" s="425">
        <f>SUM(J631:J632)</f>
        <v>0</v>
      </c>
      <c r="K630" s="422"/>
    </row>
    <row r="631" spans="1:11" hidden="1" x14ac:dyDescent="0.25">
      <c r="A631" s="440"/>
      <c r="B631" s="427" t="s">
        <v>609</v>
      </c>
      <c r="C631" s="427" t="s">
        <v>476</v>
      </c>
      <c r="D631" s="426"/>
      <c r="E631" s="428" t="s">
        <v>477</v>
      </c>
      <c r="F631" s="429">
        <v>450000</v>
      </c>
      <c r="G631" s="429">
        <v>450000</v>
      </c>
      <c r="H631" s="429">
        <f>[2]Nov!I683</f>
        <v>0</v>
      </c>
      <c r="I631" s="429">
        <f t="shared" ref="I631:I632" si="270">G631+H631</f>
        <v>450000</v>
      </c>
      <c r="J631" s="429">
        <f t="shared" ref="J631:J632" si="271">F631-I631</f>
        <v>0</v>
      </c>
      <c r="K631" s="426"/>
    </row>
    <row r="632" spans="1:11" hidden="1" x14ac:dyDescent="0.25">
      <c r="A632" s="439"/>
      <c r="B632" s="427" t="s">
        <v>609</v>
      </c>
      <c r="C632" s="427" t="s">
        <v>478</v>
      </c>
      <c r="D632" s="426"/>
      <c r="E632" s="428" t="s">
        <v>479</v>
      </c>
      <c r="F632" s="429">
        <v>2100000</v>
      </c>
      <c r="G632" s="429">
        <v>2100000</v>
      </c>
      <c r="H632" s="429">
        <f>[2]Nov!I684</f>
        <v>0</v>
      </c>
      <c r="I632" s="429">
        <f t="shared" si="270"/>
        <v>2100000</v>
      </c>
      <c r="J632" s="429">
        <f t="shared" si="271"/>
        <v>0</v>
      </c>
      <c r="K632" s="426"/>
    </row>
    <row r="633" spans="1:11" hidden="1" x14ac:dyDescent="0.25">
      <c r="A633" s="439"/>
      <c r="B633" s="427"/>
      <c r="C633" s="427"/>
      <c r="D633" s="426"/>
      <c r="E633" s="428"/>
      <c r="F633" s="429"/>
      <c r="G633" s="429"/>
      <c r="H633" s="429"/>
      <c r="I633" s="429"/>
      <c r="J633" s="429"/>
      <c r="K633" s="426"/>
    </row>
    <row r="634" spans="1:11" x14ac:dyDescent="0.25">
      <c r="A634" s="439"/>
      <c r="B634" s="419" t="s">
        <v>611</v>
      </c>
      <c r="C634" s="438"/>
      <c r="D634" s="420" t="s">
        <v>612</v>
      </c>
      <c r="E634" s="418"/>
      <c r="F634" s="421">
        <f t="shared" ref="F634:J635" si="272">F635</f>
        <v>2920000</v>
      </c>
      <c r="G634" s="421">
        <f t="shared" si="272"/>
        <v>0</v>
      </c>
      <c r="H634" s="421">
        <f t="shared" si="272"/>
        <v>2920000</v>
      </c>
      <c r="I634" s="421">
        <f t="shared" si="272"/>
        <v>2920000</v>
      </c>
      <c r="J634" s="421">
        <f t="shared" si="272"/>
        <v>0</v>
      </c>
      <c r="K634" s="418"/>
    </row>
    <row r="635" spans="1:11" ht="38.25" x14ac:dyDescent="0.25">
      <c r="A635" s="438"/>
      <c r="B635" s="449" t="s">
        <v>613</v>
      </c>
      <c r="C635" s="438"/>
      <c r="D635" s="418"/>
      <c r="E635" s="484" t="s">
        <v>614</v>
      </c>
      <c r="F635" s="443">
        <f t="shared" si="272"/>
        <v>2920000</v>
      </c>
      <c r="G635" s="443">
        <f t="shared" si="272"/>
        <v>0</v>
      </c>
      <c r="H635" s="443">
        <f t="shared" si="272"/>
        <v>2920000</v>
      </c>
      <c r="I635" s="443">
        <f t="shared" si="272"/>
        <v>2920000</v>
      </c>
      <c r="J635" s="443">
        <f t="shared" si="272"/>
        <v>0</v>
      </c>
      <c r="K635" s="418"/>
    </row>
    <row r="636" spans="1:11" ht="0.75" customHeight="1" x14ac:dyDescent="0.25">
      <c r="A636" s="438"/>
      <c r="B636" s="419" t="s">
        <v>613</v>
      </c>
      <c r="C636" s="419" t="s">
        <v>359</v>
      </c>
      <c r="D636" s="418"/>
      <c r="E636" s="420" t="s">
        <v>67</v>
      </c>
      <c r="F636" s="421">
        <f>F637+F640</f>
        <v>2920000</v>
      </c>
      <c r="G636" s="421">
        <f>G637+G640</f>
        <v>0</v>
      </c>
      <c r="H636" s="421">
        <f>H637+H640</f>
        <v>2920000</v>
      </c>
      <c r="I636" s="421">
        <f>I637+I640</f>
        <v>2920000</v>
      </c>
      <c r="J636" s="421">
        <f>J637+J640</f>
        <v>0</v>
      </c>
      <c r="K636" s="418"/>
    </row>
    <row r="637" spans="1:11" hidden="1" x14ac:dyDescent="0.25">
      <c r="A637" s="438"/>
      <c r="B637" s="423" t="s">
        <v>613</v>
      </c>
      <c r="C637" s="423" t="s">
        <v>360</v>
      </c>
      <c r="D637" s="422"/>
      <c r="E637" s="424" t="s">
        <v>361</v>
      </c>
      <c r="F637" s="425">
        <f>SUM(F638:F639)</f>
        <v>1495000</v>
      </c>
      <c r="G637" s="425">
        <f>SUM(G638:G639)</f>
        <v>0</v>
      </c>
      <c r="H637" s="425">
        <f>SUM(H638:H639)</f>
        <v>1495000</v>
      </c>
      <c r="I637" s="425">
        <f>SUM(I638:I639)</f>
        <v>1495000</v>
      </c>
      <c r="J637" s="425">
        <f>SUM(J638:J639)</f>
        <v>0</v>
      </c>
      <c r="K637" s="422"/>
    </row>
    <row r="638" spans="1:11" hidden="1" x14ac:dyDescent="0.25">
      <c r="A638" s="440"/>
      <c r="B638" s="427" t="s">
        <v>613</v>
      </c>
      <c r="C638" s="427" t="s">
        <v>366</v>
      </c>
      <c r="D638" s="426"/>
      <c r="E638" s="428" t="s">
        <v>367</v>
      </c>
      <c r="F638" s="429">
        <v>155000</v>
      </c>
      <c r="G638" s="429">
        <v>0</v>
      </c>
      <c r="H638" s="429">
        <f>[2]Nov!I690</f>
        <v>155000</v>
      </c>
      <c r="I638" s="429">
        <f t="shared" ref="I638:I639" si="273">G638+H638</f>
        <v>155000</v>
      </c>
      <c r="J638" s="429">
        <f t="shared" ref="J638:J639" si="274">F638-I638</f>
        <v>0</v>
      </c>
      <c r="K638" s="426"/>
    </row>
    <row r="639" spans="1:11" hidden="1" x14ac:dyDescent="0.25">
      <c r="A639" s="439"/>
      <c r="B639" s="427" t="s">
        <v>613</v>
      </c>
      <c r="C639" s="427" t="s">
        <v>368</v>
      </c>
      <c r="D639" s="426"/>
      <c r="E639" s="428" t="s">
        <v>369</v>
      </c>
      <c r="F639" s="429">
        <v>1340000</v>
      </c>
      <c r="G639" s="429">
        <v>0</v>
      </c>
      <c r="H639" s="429">
        <f>[2]Nov!I691</f>
        <v>1340000</v>
      </c>
      <c r="I639" s="429">
        <f t="shared" si="273"/>
        <v>1340000</v>
      </c>
      <c r="J639" s="429">
        <f t="shared" si="274"/>
        <v>0</v>
      </c>
      <c r="K639" s="426"/>
    </row>
    <row r="640" spans="1:11" hidden="1" x14ac:dyDescent="0.25">
      <c r="A640" s="439"/>
      <c r="B640" s="423" t="s">
        <v>613</v>
      </c>
      <c r="C640" s="423" t="s">
        <v>370</v>
      </c>
      <c r="D640" s="422"/>
      <c r="E640" s="424" t="s">
        <v>81</v>
      </c>
      <c r="F640" s="425">
        <f>SUM(F641:F642)</f>
        <v>1425000</v>
      </c>
      <c r="G640" s="425">
        <f>SUM(G641:G642)</f>
        <v>0</v>
      </c>
      <c r="H640" s="425">
        <f>SUM(H641:H642)</f>
        <v>1425000</v>
      </c>
      <c r="I640" s="425">
        <f>SUM(I641:I642)</f>
        <v>1425000</v>
      </c>
      <c r="J640" s="425">
        <f>SUM(J641:J642)</f>
        <v>0</v>
      </c>
      <c r="K640" s="422"/>
    </row>
    <row r="641" spans="1:11" hidden="1" x14ac:dyDescent="0.25">
      <c r="A641" s="440"/>
      <c r="B641" s="427" t="s">
        <v>613</v>
      </c>
      <c r="C641" s="427" t="s">
        <v>476</v>
      </c>
      <c r="D641" s="426"/>
      <c r="E641" s="428" t="s">
        <v>477</v>
      </c>
      <c r="F641" s="429">
        <v>450000</v>
      </c>
      <c r="G641" s="429">
        <v>0</v>
      </c>
      <c r="H641" s="429">
        <f>[2]Nov!I693</f>
        <v>450000</v>
      </c>
      <c r="I641" s="429">
        <f t="shared" ref="I641:I642" si="275">G641+H641</f>
        <v>450000</v>
      </c>
      <c r="J641" s="429">
        <f t="shared" ref="J641:J642" si="276">F641-I641</f>
        <v>0</v>
      </c>
      <c r="K641" s="426"/>
    </row>
    <row r="642" spans="1:11" hidden="1" x14ac:dyDescent="0.25">
      <c r="A642" s="439"/>
      <c r="B642" s="427" t="s">
        <v>613</v>
      </c>
      <c r="C642" s="427" t="s">
        <v>478</v>
      </c>
      <c r="D642" s="426"/>
      <c r="E642" s="428" t="s">
        <v>479</v>
      </c>
      <c r="F642" s="429">
        <v>975000</v>
      </c>
      <c r="G642" s="429">
        <v>0</v>
      </c>
      <c r="H642" s="429">
        <f>[2]Nov!I694</f>
        <v>975000</v>
      </c>
      <c r="I642" s="429">
        <f t="shared" si="275"/>
        <v>975000</v>
      </c>
      <c r="J642" s="429">
        <f t="shared" si="276"/>
        <v>0</v>
      </c>
      <c r="K642" s="426"/>
    </row>
    <row r="643" spans="1:11" hidden="1" x14ac:dyDescent="0.25">
      <c r="A643" s="439"/>
      <c r="B643" s="427"/>
      <c r="C643" s="427"/>
      <c r="D643" s="426"/>
      <c r="E643" s="428"/>
      <c r="F643" s="429"/>
      <c r="G643" s="429"/>
      <c r="H643" s="429"/>
      <c r="I643" s="429"/>
      <c r="J643" s="429"/>
      <c r="K643" s="426"/>
    </row>
    <row r="644" spans="1:11" x14ac:dyDescent="0.25">
      <c r="A644" s="439"/>
      <c r="B644" s="419" t="s">
        <v>615</v>
      </c>
      <c r="C644" s="438"/>
      <c r="D644" s="420" t="s">
        <v>119</v>
      </c>
      <c r="E644" s="418"/>
      <c r="F644" s="421">
        <f t="shared" ref="F644:J645" si="277">F645</f>
        <v>2504800</v>
      </c>
      <c r="G644" s="421">
        <f t="shared" si="277"/>
        <v>0</v>
      </c>
      <c r="H644" s="421">
        <f t="shared" si="277"/>
        <v>2504750</v>
      </c>
      <c r="I644" s="421">
        <f t="shared" si="277"/>
        <v>2504750</v>
      </c>
      <c r="J644" s="421">
        <f t="shared" si="277"/>
        <v>50</v>
      </c>
      <c r="K644" s="418"/>
    </row>
    <row r="645" spans="1:11" ht="25.5" x14ac:dyDescent="0.25">
      <c r="A645" s="438"/>
      <c r="B645" s="449" t="s">
        <v>616</v>
      </c>
      <c r="C645" s="438"/>
      <c r="D645" s="418"/>
      <c r="E645" s="484" t="s">
        <v>617</v>
      </c>
      <c r="F645" s="443">
        <f t="shared" si="277"/>
        <v>2504800</v>
      </c>
      <c r="G645" s="443">
        <f t="shared" si="277"/>
        <v>0</v>
      </c>
      <c r="H645" s="443">
        <f t="shared" si="277"/>
        <v>2504750</v>
      </c>
      <c r="I645" s="443">
        <f t="shared" si="277"/>
        <v>2504750</v>
      </c>
      <c r="J645" s="443">
        <f t="shared" si="277"/>
        <v>50</v>
      </c>
      <c r="K645" s="418"/>
    </row>
    <row r="646" spans="1:11" hidden="1" x14ac:dyDescent="0.25">
      <c r="A646" s="438"/>
      <c r="B646" s="419" t="s">
        <v>616</v>
      </c>
      <c r="C646" s="419" t="s">
        <v>359</v>
      </c>
      <c r="D646" s="418"/>
      <c r="E646" s="420" t="s">
        <v>67</v>
      </c>
      <c r="F646" s="421">
        <f>F647+F650+F653</f>
        <v>2504800</v>
      </c>
      <c r="G646" s="421">
        <f>G647+G650+G653</f>
        <v>0</v>
      </c>
      <c r="H646" s="421">
        <f>H647+H650+H653</f>
        <v>2504750</v>
      </c>
      <c r="I646" s="421">
        <f>I647+I650+I653</f>
        <v>2504750</v>
      </c>
      <c r="J646" s="421">
        <f>J647+J650+J653</f>
        <v>50</v>
      </c>
      <c r="K646" s="418"/>
    </row>
    <row r="647" spans="1:11" hidden="1" x14ac:dyDescent="0.25">
      <c r="A647" s="438"/>
      <c r="B647" s="423" t="s">
        <v>616</v>
      </c>
      <c r="C647" s="423" t="s">
        <v>360</v>
      </c>
      <c r="D647" s="422"/>
      <c r="E647" s="424" t="s">
        <v>361</v>
      </c>
      <c r="F647" s="425">
        <f>SUM(F648:F649)</f>
        <v>704800</v>
      </c>
      <c r="G647" s="425">
        <f>SUM(G648:G649)</f>
        <v>0</v>
      </c>
      <c r="H647" s="425">
        <f>SUM(H648:H649)</f>
        <v>704750</v>
      </c>
      <c r="I647" s="425">
        <f>SUM(I648:I649)</f>
        <v>704750</v>
      </c>
      <c r="J647" s="425">
        <f>SUM(J648:J649)</f>
        <v>50</v>
      </c>
      <c r="K647" s="422"/>
    </row>
    <row r="648" spans="1:11" hidden="1" x14ac:dyDescent="0.25">
      <c r="A648" s="440"/>
      <c r="B648" s="427" t="s">
        <v>616</v>
      </c>
      <c r="C648" s="427" t="s">
        <v>366</v>
      </c>
      <c r="D648" s="426"/>
      <c r="E648" s="428" t="s">
        <v>367</v>
      </c>
      <c r="F648" s="429">
        <v>104800</v>
      </c>
      <c r="G648" s="429">
        <v>0</v>
      </c>
      <c r="H648" s="429">
        <f>[2]Nov!I700</f>
        <v>104750</v>
      </c>
      <c r="I648" s="429">
        <f t="shared" ref="I648:I649" si="278">G648+H648</f>
        <v>104750</v>
      </c>
      <c r="J648" s="429">
        <f t="shared" ref="J648:J649" si="279">F648-I648</f>
        <v>50</v>
      </c>
      <c r="K648" s="426"/>
    </row>
    <row r="649" spans="1:11" hidden="1" x14ac:dyDescent="0.25">
      <c r="A649" s="439"/>
      <c r="B649" s="427" t="s">
        <v>616</v>
      </c>
      <c r="C649" s="427" t="s">
        <v>368</v>
      </c>
      <c r="D649" s="426"/>
      <c r="E649" s="428" t="s">
        <v>369</v>
      </c>
      <c r="F649" s="429">
        <v>600000</v>
      </c>
      <c r="G649" s="429">
        <v>0</v>
      </c>
      <c r="H649" s="429">
        <f>[2]Nov!I701</f>
        <v>600000</v>
      </c>
      <c r="I649" s="429">
        <f t="shared" si="278"/>
        <v>600000</v>
      </c>
      <c r="J649" s="429">
        <f t="shared" si="279"/>
        <v>0</v>
      </c>
      <c r="K649" s="426"/>
    </row>
    <row r="650" spans="1:11" hidden="1" x14ac:dyDescent="0.25">
      <c r="A650" s="439"/>
      <c r="B650" s="466" t="s">
        <v>616</v>
      </c>
      <c r="C650" s="466" t="s">
        <v>370</v>
      </c>
      <c r="D650" s="467"/>
      <c r="E650" s="468" t="s">
        <v>81</v>
      </c>
      <c r="F650" s="469">
        <f>SUM(F651:F652)</f>
        <v>1050000</v>
      </c>
      <c r="G650" s="469">
        <f>SUM(G651:G652)</f>
        <v>0</v>
      </c>
      <c r="H650" s="469">
        <f>SUM(H651:H652)</f>
        <v>1050000</v>
      </c>
      <c r="I650" s="469">
        <f>SUM(I651:I652)</f>
        <v>1050000</v>
      </c>
      <c r="J650" s="469">
        <f>SUM(J651:J652)</f>
        <v>0</v>
      </c>
      <c r="K650" s="467"/>
    </row>
    <row r="651" spans="1:11" hidden="1" x14ac:dyDescent="0.25">
      <c r="A651" s="465"/>
      <c r="B651" s="427" t="s">
        <v>616</v>
      </c>
      <c r="C651" s="427" t="s">
        <v>476</v>
      </c>
      <c r="D651" s="426"/>
      <c r="E651" s="428" t="s">
        <v>477</v>
      </c>
      <c r="F651" s="429">
        <v>450000</v>
      </c>
      <c r="G651" s="429">
        <v>0</v>
      </c>
      <c r="H651" s="429">
        <f>[2]Nov!I703</f>
        <v>450000</v>
      </c>
      <c r="I651" s="429">
        <f t="shared" ref="I651:I652" si="280">G651+H651</f>
        <v>450000</v>
      </c>
      <c r="J651" s="429">
        <f t="shared" ref="J651:J652" si="281">F651-I651</f>
        <v>0</v>
      </c>
      <c r="K651" s="426"/>
    </row>
    <row r="652" spans="1:11" hidden="1" x14ac:dyDescent="0.25">
      <c r="A652" s="439"/>
      <c r="B652" s="427" t="s">
        <v>616</v>
      </c>
      <c r="C652" s="427" t="s">
        <v>478</v>
      </c>
      <c r="D652" s="426"/>
      <c r="E652" s="428" t="s">
        <v>479</v>
      </c>
      <c r="F652" s="429">
        <v>600000</v>
      </c>
      <c r="G652" s="429">
        <v>0</v>
      </c>
      <c r="H652" s="429">
        <f>[2]Nov!I704</f>
        <v>600000</v>
      </c>
      <c r="I652" s="429">
        <f t="shared" si="280"/>
        <v>600000</v>
      </c>
      <c r="J652" s="429">
        <f t="shared" si="281"/>
        <v>0</v>
      </c>
      <c r="K652" s="426"/>
    </row>
    <row r="653" spans="1:11" hidden="1" x14ac:dyDescent="0.25">
      <c r="A653" s="439"/>
      <c r="B653" s="423" t="s">
        <v>616</v>
      </c>
      <c r="C653" s="423" t="s">
        <v>455</v>
      </c>
      <c r="D653" s="422"/>
      <c r="E653" s="424" t="s">
        <v>83</v>
      </c>
      <c r="F653" s="425">
        <f>SUM(F654:F655)</f>
        <v>750000</v>
      </c>
      <c r="G653" s="425">
        <f>SUM(G654:G655)</f>
        <v>0</v>
      </c>
      <c r="H653" s="425">
        <f>SUM(H654:H655)</f>
        <v>750000</v>
      </c>
      <c r="I653" s="425">
        <f>SUM(I654:I655)</f>
        <v>750000</v>
      </c>
      <c r="J653" s="425">
        <f>SUM(J654:J655)</f>
        <v>0</v>
      </c>
      <c r="K653" s="422"/>
    </row>
    <row r="654" spans="1:11" hidden="1" x14ac:dyDescent="0.25">
      <c r="A654" s="440"/>
      <c r="B654" s="427" t="s">
        <v>616</v>
      </c>
      <c r="C654" s="427" t="s">
        <v>618</v>
      </c>
      <c r="D654" s="426"/>
      <c r="E654" s="428" t="s">
        <v>619</v>
      </c>
      <c r="F654" s="429">
        <v>250000</v>
      </c>
      <c r="G654" s="429">
        <v>0</v>
      </c>
      <c r="H654" s="429">
        <f>[2]Nov!I706</f>
        <v>250000</v>
      </c>
      <c r="I654" s="429">
        <f t="shared" ref="I654:I655" si="282">G654+H654</f>
        <v>250000</v>
      </c>
      <c r="J654" s="429">
        <f t="shared" ref="J654:J655" si="283">F654-I654</f>
        <v>0</v>
      </c>
      <c r="K654" s="426"/>
    </row>
    <row r="655" spans="1:11" hidden="1" x14ac:dyDescent="0.25">
      <c r="A655" s="439"/>
      <c r="B655" s="451" t="s">
        <v>616</v>
      </c>
      <c r="C655" s="451" t="s">
        <v>467</v>
      </c>
      <c r="D655" s="452"/>
      <c r="E655" s="453" t="s">
        <v>468</v>
      </c>
      <c r="F655" s="454">
        <v>500000</v>
      </c>
      <c r="G655" s="454">
        <v>0</v>
      </c>
      <c r="H655" s="429">
        <f>[2]Nov!I707</f>
        <v>500000</v>
      </c>
      <c r="I655" s="454">
        <f t="shared" si="282"/>
        <v>500000</v>
      </c>
      <c r="J655" s="454">
        <f t="shared" si="283"/>
        <v>0</v>
      </c>
      <c r="K655" s="452"/>
    </row>
    <row r="656" spans="1:11" hidden="1" x14ac:dyDescent="0.25">
      <c r="A656" s="477"/>
      <c r="B656" s="451"/>
      <c r="C656" s="451"/>
      <c r="D656" s="452"/>
      <c r="E656" s="453"/>
      <c r="F656" s="454"/>
      <c r="G656" s="454"/>
      <c r="H656" s="429"/>
      <c r="I656" s="454"/>
      <c r="J656" s="454"/>
      <c r="K656" s="452"/>
    </row>
    <row r="657" spans="1:11" x14ac:dyDescent="0.25">
      <c r="A657" s="485"/>
      <c r="B657" s="419">
        <v>5</v>
      </c>
      <c r="C657" s="438"/>
      <c r="D657" s="420" t="s">
        <v>620</v>
      </c>
      <c r="E657" s="418"/>
      <c r="F657" s="421">
        <f>F658+F664+F670</f>
        <v>275402500</v>
      </c>
      <c r="G657" s="421">
        <f>G658+G664+G670</f>
        <v>300000</v>
      </c>
      <c r="H657" s="421">
        <f>H658+H664+H670</f>
        <v>255211750</v>
      </c>
      <c r="I657" s="421">
        <f>I658+I664+I670</f>
        <v>255511750</v>
      </c>
      <c r="J657" s="421">
        <f>J658+J664+J670</f>
        <v>19890750</v>
      </c>
      <c r="K657" s="418"/>
    </row>
    <row r="658" spans="1:11" x14ac:dyDescent="0.25">
      <c r="A658" s="438"/>
      <c r="B658" s="419" t="s">
        <v>621</v>
      </c>
      <c r="C658" s="438"/>
      <c r="D658" s="420" t="s">
        <v>121</v>
      </c>
      <c r="E658" s="418"/>
      <c r="F658" s="421">
        <f t="shared" ref="F658:J660" si="284">F659</f>
        <v>56202500</v>
      </c>
      <c r="G658" s="421">
        <f t="shared" si="284"/>
        <v>300000</v>
      </c>
      <c r="H658" s="421">
        <f t="shared" si="284"/>
        <v>42811750</v>
      </c>
      <c r="I658" s="421">
        <f t="shared" si="284"/>
        <v>43111750</v>
      </c>
      <c r="J658" s="421">
        <f t="shared" si="284"/>
        <v>13090750</v>
      </c>
      <c r="K658" s="418"/>
    </row>
    <row r="659" spans="1:11" x14ac:dyDescent="0.25">
      <c r="A659" s="438"/>
      <c r="B659" s="419" t="s">
        <v>622</v>
      </c>
      <c r="C659" s="438"/>
      <c r="D659" s="418"/>
      <c r="E659" s="420" t="s">
        <v>623</v>
      </c>
      <c r="F659" s="421">
        <f t="shared" si="284"/>
        <v>56202500</v>
      </c>
      <c r="G659" s="421">
        <f t="shared" si="284"/>
        <v>300000</v>
      </c>
      <c r="H659" s="421">
        <f t="shared" si="284"/>
        <v>42811750</v>
      </c>
      <c r="I659" s="421">
        <f t="shared" si="284"/>
        <v>43111750</v>
      </c>
      <c r="J659" s="421">
        <f t="shared" si="284"/>
        <v>13090750</v>
      </c>
      <c r="K659" s="418"/>
    </row>
    <row r="660" spans="1:11" hidden="1" x14ac:dyDescent="0.25">
      <c r="A660" s="438"/>
      <c r="B660" s="419" t="s">
        <v>622</v>
      </c>
      <c r="C660" s="419" t="s">
        <v>624</v>
      </c>
      <c r="D660" s="418"/>
      <c r="E660" s="420" t="s">
        <v>625</v>
      </c>
      <c r="F660" s="421">
        <f t="shared" si="284"/>
        <v>56202500</v>
      </c>
      <c r="G660" s="421">
        <f t="shared" si="284"/>
        <v>300000</v>
      </c>
      <c r="H660" s="421">
        <f t="shared" si="284"/>
        <v>42811750</v>
      </c>
      <c r="I660" s="421">
        <f t="shared" si="284"/>
        <v>43111750</v>
      </c>
      <c r="J660" s="421">
        <f t="shared" si="284"/>
        <v>13090750</v>
      </c>
      <c r="K660" s="418"/>
    </row>
    <row r="661" spans="1:11" hidden="1" x14ac:dyDescent="0.25">
      <c r="A661" s="438"/>
      <c r="B661" s="423" t="s">
        <v>622</v>
      </c>
      <c r="C661" s="423" t="s">
        <v>626</v>
      </c>
      <c r="D661" s="422"/>
      <c r="E661" s="424" t="s">
        <v>625</v>
      </c>
      <c r="F661" s="425">
        <f>SUM(F662)</f>
        <v>56202500</v>
      </c>
      <c r="G661" s="425">
        <f>SUM(G662)</f>
        <v>300000</v>
      </c>
      <c r="H661" s="425">
        <f>SUM(H662)</f>
        <v>42811750</v>
      </c>
      <c r="I661" s="425">
        <f>SUM(I662)</f>
        <v>43111750</v>
      </c>
      <c r="J661" s="425">
        <f>SUM(J662)</f>
        <v>13090750</v>
      </c>
      <c r="K661" s="422"/>
    </row>
    <row r="662" spans="1:11" hidden="1" x14ac:dyDescent="0.25">
      <c r="A662" s="440"/>
      <c r="B662" s="427" t="s">
        <v>622</v>
      </c>
      <c r="C662" s="427" t="s">
        <v>627</v>
      </c>
      <c r="D662" s="426"/>
      <c r="E662" s="428" t="s">
        <v>625</v>
      </c>
      <c r="F662" s="429">
        <v>56202500</v>
      </c>
      <c r="G662" s="429">
        <v>300000</v>
      </c>
      <c r="H662" s="429">
        <f>[2]Nov!I718</f>
        <v>42811750</v>
      </c>
      <c r="I662" s="429">
        <f t="shared" ref="I662" si="285">G662+H662</f>
        <v>43111750</v>
      </c>
      <c r="J662" s="429">
        <f t="shared" ref="J662" si="286">F662-I662</f>
        <v>13090750</v>
      </c>
      <c r="K662" s="426"/>
    </row>
    <row r="663" spans="1:11" hidden="1" x14ac:dyDescent="0.25">
      <c r="A663" s="439"/>
      <c r="B663" s="427"/>
      <c r="C663" s="427"/>
      <c r="D663" s="426"/>
      <c r="E663" s="428"/>
      <c r="F663" s="429"/>
      <c r="G663" s="429"/>
      <c r="H663" s="429"/>
      <c r="I663" s="429"/>
      <c r="J663" s="429"/>
      <c r="K663" s="426"/>
    </row>
    <row r="664" spans="1:11" x14ac:dyDescent="0.25">
      <c r="A664" s="439"/>
      <c r="B664" s="419" t="s">
        <v>628</v>
      </c>
      <c r="C664" s="438"/>
      <c r="D664" s="420" t="s">
        <v>122</v>
      </c>
      <c r="E664" s="418"/>
      <c r="F664" s="421">
        <f t="shared" ref="F664:J666" si="287">F665</f>
        <v>5000000</v>
      </c>
      <c r="G664" s="421">
        <f t="shared" si="287"/>
        <v>0</v>
      </c>
      <c r="H664" s="421">
        <f t="shared" si="287"/>
        <v>0</v>
      </c>
      <c r="I664" s="421">
        <f t="shared" si="287"/>
        <v>0</v>
      </c>
      <c r="J664" s="421">
        <f t="shared" si="287"/>
        <v>5000000</v>
      </c>
      <c r="K664" s="418"/>
    </row>
    <row r="665" spans="1:11" x14ac:dyDescent="0.25">
      <c r="A665" s="438"/>
      <c r="B665" s="419" t="s">
        <v>629</v>
      </c>
      <c r="C665" s="438"/>
      <c r="D665" s="418"/>
      <c r="E665" s="420" t="s">
        <v>630</v>
      </c>
      <c r="F665" s="421">
        <f t="shared" si="287"/>
        <v>5000000</v>
      </c>
      <c r="G665" s="421">
        <f t="shared" si="287"/>
        <v>0</v>
      </c>
      <c r="H665" s="421">
        <f t="shared" si="287"/>
        <v>0</v>
      </c>
      <c r="I665" s="421">
        <f t="shared" si="287"/>
        <v>0</v>
      </c>
      <c r="J665" s="421">
        <f t="shared" si="287"/>
        <v>5000000</v>
      </c>
      <c r="K665" s="418"/>
    </row>
    <row r="666" spans="1:11" hidden="1" x14ac:dyDescent="0.25">
      <c r="A666" s="438"/>
      <c r="B666" s="419" t="s">
        <v>629</v>
      </c>
      <c r="C666" s="419" t="s">
        <v>624</v>
      </c>
      <c r="D666" s="418"/>
      <c r="E666" s="420" t="s">
        <v>625</v>
      </c>
      <c r="F666" s="421">
        <f t="shared" si="287"/>
        <v>5000000</v>
      </c>
      <c r="G666" s="421">
        <f t="shared" si="287"/>
        <v>0</v>
      </c>
      <c r="H666" s="421">
        <f t="shared" si="287"/>
        <v>0</v>
      </c>
      <c r="I666" s="421">
        <f t="shared" si="287"/>
        <v>0</v>
      </c>
      <c r="J666" s="421">
        <f t="shared" si="287"/>
        <v>5000000</v>
      </c>
      <c r="K666" s="418"/>
    </row>
    <row r="667" spans="1:11" hidden="1" x14ac:dyDescent="0.25">
      <c r="A667" s="438"/>
      <c r="B667" s="423" t="s">
        <v>629</v>
      </c>
      <c r="C667" s="423" t="s">
        <v>626</v>
      </c>
      <c r="D667" s="422"/>
      <c r="E667" s="424" t="s">
        <v>625</v>
      </c>
      <c r="F667" s="425">
        <f>SUM(F668)</f>
        <v>5000000</v>
      </c>
      <c r="G667" s="425">
        <f>SUM(G668)</f>
        <v>0</v>
      </c>
      <c r="H667" s="425">
        <f>SUM(H668)</f>
        <v>0</v>
      </c>
      <c r="I667" s="425">
        <f>SUM(I668)</f>
        <v>0</v>
      </c>
      <c r="J667" s="425">
        <f>SUM(J668)</f>
        <v>5000000</v>
      </c>
      <c r="K667" s="422"/>
    </row>
    <row r="668" spans="1:11" hidden="1" x14ac:dyDescent="0.25">
      <c r="A668" s="440"/>
      <c r="B668" s="427" t="s">
        <v>629</v>
      </c>
      <c r="C668" s="427" t="s">
        <v>627</v>
      </c>
      <c r="D668" s="426"/>
      <c r="E668" s="428" t="s">
        <v>625</v>
      </c>
      <c r="F668" s="429">
        <v>5000000</v>
      </c>
      <c r="G668" s="429">
        <v>0</v>
      </c>
      <c r="H668" s="429">
        <f>[2]Nov!I724</f>
        <v>0</v>
      </c>
      <c r="I668" s="429">
        <f t="shared" ref="I668" si="288">G668+H668</f>
        <v>0</v>
      </c>
      <c r="J668" s="429">
        <f t="shared" ref="J668" si="289">F668-I668</f>
        <v>5000000</v>
      </c>
      <c r="K668" s="426"/>
    </row>
    <row r="669" spans="1:11" hidden="1" x14ac:dyDescent="0.25">
      <c r="A669" s="439"/>
      <c r="B669" s="427"/>
      <c r="C669" s="427"/>
      <c r="D669" s="426"/>
      <c r="E669" s="428"/>
      <c r="F669" s="429"/>
      <c r="G669" s="429"/>
      <c r="H669" s="429"/>
      <c r="I669" s="429"/>
      <c r="J669" s="429"/>
      <c r="K669" s="426"/>
    </row>
    <row r="670" spans="1:11" x14ac:dyDescent="0.25">
      <c r="A670" s="439"/>
      <c r="B670" s="419" t="s">
        <v>631</v>
      </c>
      <c r="C670" s="438"/>
      <c r="D670" s="420" t="s">
        <v>632</v>
      </c>
      <c r="E670" s="418"/>
      <c r="F670" s="421">
        <f t="shared" ref="F670:J672" si="290">F671</f>
        <v>214200000</v>
      </c>
      <c r="G670" s="421">
        <f t="shared" si="290"/>
        <v>0</v>
      </c>
      <c r="H670" s="421">
        <f t="shared" si="290"/>
        <v>212400000</v>
      </c>
      <c r="I670" s="421">
        <f t="shared" si="290"/>
        <v>212400000</v>
      </c>
      <c r="J670" s="421">
        <f t="shared" si="290"/>
        <v>1800000</v>
      </c>
      <c r="K670" s="418"/>
    </row>
    <row r="671" spans="1:11" x14ac:dyDescent="0.25">
      <c r="A671" s="438"/>
      <c r="B671" s="419" t="s">
        <v>633</v>
      </c>
      <c r="C671" s="438"/>
      <c r="D671" s="418"/>
      <c r="E671" s="420" t="s">
        <v>634</v>
      </c>
      <c r="F671" s="421">
        <f t="shared" si="290"/>
        <v>214200000</v>
      </c>
      <c r="G671" s="421">
        <f t="shared" si="290"/>
        <v>0</v>
      </c>
      <c r="H671" s="421">
        <f t="shared" si="290"/>
        <v>212400000</v>
      </c>
      <c r="I671" s="421">
        <f t="shared" si="290"/>
        <v>212400000</v>
      </c>
      <c r="J671" s="421">
        <f t="shared" si="290"/>
        <v>1800000</v>
      </c>
      <c r="K671" s="418"/>
    </row>
    <row r="672" spans="1:11" ht="0.75" customHeight="1" x14ac:dyDescent="0.25">
      <c r="A672" s="438"/>
      <c r="B672" s="419" t="s">
        <v>633</v>
      </c>
      <c r="C672" s="419" t="s">
        <v>624</v>
      </c>
      <c r="D672" s="418"/>
      <c r="E672" s="420" t="s">
        <v>625</v>
      </c>
      <c r="F672" s="421">
        <f t="shared" si="290"/>
        <v>214200000</v>
      </c>
      <c r="G672" s="421">
        <f t="shared" si="290"/>
        <v>0</v>
      </c>
      <c r="H672" s="421">
        <f t="shared" si="290"/>
        <v>212400000</v>
      </c>
      <c r="I672" s="421">
        <f t="shared" si="290"/>
        <v>212400000</v>
      </c>
      <c r="J672" s="421">
        <f t="shared" si="290"/>
        <v>1800000</v>
      </c>
      <c r="K672" s="418"/>
    </row>
    <row r="673" spans="1:11" hidden="1" x14ac:dyDescent="0.25">
      <c r="A673" s="438"/>
      <c r="B673" s="423" t="s">
        <v>633</v>
      </c>
      <c r="C673" s="423" t="s">
        <v>626</v>
      </c>
      <c r="D673" s="422"/>
      <c r="E673" s="424" t="s">
        <v>625</v>
      </c>
      <c r="F673" s="425">
        <f>SUM(F674)</f>
        <v>214200000</v>
      </c>
      <c r="G673" s="425">
        <f>SUM(G674)</f>
        <v>0</v>
      </c>
      <c r="H673" s="425">
        <f>SUM(H674)</f>
        <v>212400000</v>
      </c>
      <c r="I673" s="425">
        <f>SUM(I674)</f>
        <v>212400000</v>
      </c>
      <c r="J673" s="425">
        <f>SUM(J674)</f>
        <v>1800000</v>
      </c>
      <c r="K673" s="422"/>
    </row>
    <row r="674" spans="1:11" hidden="1" x14ac:dyDescent="0.25">
      <c r="A674" s="440"/>
      <c r="B674" s="451" t="s">
        <v>633</v>
      </c>
      <c r="C674" s="451" t="s">
        <v>627</v>
      </c>
      <c r="D674" s="452"/>
      <c r="E674" s="453" t="s">
        <v>625</v>
      </c>
      <c r="F674" s="454">
        <v>214200000</v>
      </c>
      <c r="G674" s="454">
        <v>0</v>
      </c>
      <c r="H674" s="429">
        <f>[2]Nov!I730</f>
        <v>212400000</v>
      </c>
      <c r="I674" s="454">
        <f t="shared" ref="I674" si="291">G674+H674</f>
        <v>212400000</v>
      </c>
      <c r="J674" s="454">
        <f t="shared" ref="J674" si="292">F674-I674</f>
        <v>1800000</v>
      </c>
      <c r="K674" s="452"/>
    </row>
    <row r="675" spans="1:11" x14ac:dyDescent="0.25">
      <c r="A675" s="450"/>
      <c r="B675" s="470"/>
      <c r="C675" s="470"/>
      <c r="D675" s="406"/>
      <c r="E675" s="471" t="s">
        <v>20</v>
      </c>
      <c r="F675" s="472">
        <f>F42+F245+F461+F568+F657</f>
        <v>2109924518</v>
      </c>
      <c r="G675" s="472">
        <f>G42+G245+G461+G568+G657</f>
        <v>318810271</v>
      </c>
      <c r="H675" s="472">
        <f>H42+H245+H461+H568+H657</f>
        <v>1445444482</v>
      </c>
      <c r="I675" s="472">
        <f>I42+I245+I461+I568+I657</f>
        <v>1764254753</v>
      </c>
      <c r="J675" s="472">
        <f>J42+J245+J461+J568+J657</f>
        <v>345669765</v>
      </c>
      <c r="K675" s="406"/>
    </row>
    <row r="676" spans="1:11" x14ac:dyDescent="0.25">
      <c r="A676" s="470"/>
      <c r="B676" s="401"/>
      <c r="C676" s="395"/>
      <c r="D676" s="395"/>
      <c r="E676" s="395" t="s">
        <v>663</v>
      </c>
      <c r="F676" s="396">
        <f>F40-F675</f>
        <v>-44436318</v>
      </c>
      <c r="G676" s="396">
        <f>G40-G675</f>
        <v>-209510755</v>
      </c>
      <c r="H676" s="396">
        <f>H40-H675</f>
        <v>286112461</v>
      </c>
      <c r="I676" s="396">
        <f>I40-I675</f>
        <v>76601706</v>
      </c>
      <c r="J676" s="396">
        <f>J40-J675</f>
        <v>-121038024</v>
      </c>
      <c r="K676" s="401"/>
    </row>
    <row r="677" spans="1:11" x14ac:dyDescent="0.25">
      <c r="A677" s="401"/>
      <c r="B677" s="401"/>
      <c r="C677" s="398">
        <v>6</v>
      </c>
      <c r="D677" s="395"/>
      <c r="E677" s="395" t="s">
        <v>22</v>
      </c>
      <c r="F677" s="396">
        <f>F678-F681</f>
        <v>44436318</v>
      </c>
      <c r="G677" s="401"/>
      <c r="H677" s="405"/>
      <c r="I677" s="396">
        <f>I678-I681</f>
        <v>44436318</v>
      </c>
      <c r="J677" s="405"/>
      <c r="K677" s="405"/>
    </row>
    <row r="678" spans="1:11" ht="14.25" customHeight="1" x14ac:dyDescent="0.25">
      <c r="A678" s="401"/>
      <c r="B678" s="401"/>
      <c r="C678" s="399" t="s">
        <v>668</v>
      </c>
      <c r="D678" s="395"/>
      <c r="E678" s="395" t="s">
        <v>23</v>
      </c>
      <c r="F678" s="396">
        <f>F679+F680</f>
        <v>44436318</v>
      </c>
      <c r="G678" s="401"/>
      <c r="H678" s="405"/>
      <c r="I678" s="396">
        <f>I679+I680</f>
        <v>44436318</v>
      </c>
      <c r="J678" s="405"/>
      <c r="K678" s="405"/>
    </row>
    <row r="679" spans="1:11" ht="0.75" hidden="1" customHeight="1" x14ac:dyDescent="0.25">
      <c r="A679" s="401"/>
      <c r="B679" s="401"/>
      <c r="C679" s="400" t="s">
        <v>669</v>
      </c>
      <c r="D679" s="401"/>
      <c r="E679" s="401" t="s">
        <v>664</v>
      </c>
      <c r="F679" s="402">
        <v>44436318</v>
      </c>
      <c r="G679" s="401"/>
      <c r="H679" s="406"/>
      <c r="I679" s="402">
        <v>44436318</v>
      </c>
      <c r="J679" s="406"/>
      <c r="K679" s="406"/>
    </row>
    <row r="680" spans="1:11" hidden="1" x14ac:dyDescent="0.25">
      <c r="A680" s="401"/>
      <c r="B680" s="401"/>
      <c r="C680" s="400" t="s">
        <v>670</v>
      </c>
      <c r="D680" s="401"/>
      <c r="E680" s="401" t="s">
        <v>665</v>
      </c>
      <c r="F680" s="402"/>
      <c r="G680" s="401"/>
      <c r="H680" s="406"/>
      <c r="I680" s="402"/>
      <c r="J680" s="406"/>
      <c r="K680" s="406"/>
    </row>
    <row r="681" spans="1:11" x14ac:dyDescent="0.25">
      <c r="A681" s="401"/>
      <c r="B681" s="401"/>
      <c r="C681" s="399" t="s">
        <v>671</v>
      </c>
      <c r="D681" s="395"/>
      <c r="E681" s="395" t="s">
        <v>24</v>
      </c>
      <c r="F681" s="396">
        <f>F682+F683</f>
        <v>0</v>
      </c>
      <c r="G681" s="401"/>
      <c r="H681" s="407"/>
      <c r="I681" s="396">
        <f>I682+I683</f>
        <v>0</v>
      </c>
      <c r="J681" s="407"/>
      <c r="K681" s="407"/>
    </row>
    <row r="682" spans="1:11" hidden="1" x14ac:dyDescent="0.25">
      <c r="A682" s="401"/>
      <c r="B682" s="401"/>
      <c r="C682" s="400" t="s">
        <v>672</v>
      </c>
      <c r="D682" s="401"/>
      <c r="E682" s="401" t="s">
        <v>666</v>
      </c>
      <c r="F682" s="402"/>
      <c r="G682" s="401"/>
      <c r="H682" s="401"/>
      <c r="I682" s="402"/>
      <c r="J682" s="401"/>
      <c r="K682" s="401"/>
    </row>
    <row r="683" spans="1:11" hidden="1" x14ac:dyDescent="0.25">
      <c r="A683" s="401"/>
      <c r="B683" s="401"/>
      <c r="C683" s="400" t="s">
        <v>673</v>
      </c>
      <c r="D683" s="401"/>
      <c r="E683" s="401" t="s">
        <v>137</v>
      </c>
      <c r="F683" s="402"/>
      <c r="G683" s="401"/>
      <c r="H683" s="401"/>
      <c r="I683" s="402"/>
      <c r="J683" s="401"/>
      <c r="K683" s="401"/>
    </row>
    <row r="684" spans="1:11" x14ac:dyDescent="0.25">
      <c r="A684" s="401"/>
      <c r="B684" s="401"/>
      <c r="C684" s="399"/>
      <c r="D684" s="395"/>
      <c r="E684" s="395" t="s">
        <v>667</v>
      </c>
      <c r="F684" s="396">
        <f>F678-F681</f>
        <v>44436318</v>
      </c>
      <c r="G684" s="401"/>
      <c r="H684" s="401"/>
      <c r="I684" s="396">
        <f>I678-I681</f>
        <v>44436318</v>
      </c>
      <c r="J684" s="401"/>
      <c r="K684" s="401"/>
    </row>
    <row r="685" spans="1:11" x14ac:dyDescent="0.25">
      <c r="A685" s="401"/>
      <c r="B685" s="401"/>
      <c r="C685" s="399"/>
      <c r="D685" s="395"/>
      <c r="E685" s="395" t="s">
        <v>25</v>
      </c>
      <c r="F685" s="396"/>
      <c r="G685" s="401"/>
      <c r="H685" s="401"/>
      <c r="I685" s="404">
        <f>I676+I684</f>
        <v>121038024</v>
      </c>
      <c r="J685" s="401"/>
      <c r="K685" s="401"/>
    </row>
    <row r="686" spans="1:11" ht="42" customHeight="1" x14ac:dyDescent="0.25">
      <c r="I686" s="397" t="s">
        <v>1030</v>
      </c>
    </row>
    <row r="687" spans="1:11" x14ac:dyDescent="0.25">
      <c r="F687" s="397" t="s">
        <v>1045</v>
      </c>
      <c r="I687" s="474" t="s">
        <v>635</v>
      </c>
    </row>
    <row r="688" spans="1:11" x14ac:dyDescent="0.25">
      <c r="F688" s="474" t="s">
        <v>635</v>
      </c>
      <c r="I688" s="474"/>
    </row>
    <row r="689" spans="6:9" x14ac:dyDescent="0.25">
      <c r="F689" s="474"/>
      <c r="I689" s="474"/>
    </row>
    <row r="690" spans="6:9" x14ac:dyDescent="0.25">
      <c r="F690" s="474"/>
      <c r="I690" s="474"/>
    </row>
    <row r="691" spans="6:9" x14ac:dyDescent="0.25">
      <c r="F691" s="474"/>
      <c r="I691" s="475" t="s">
        <v>1031</v>
      </c>
    </row>
    <row r="692" spans="6:9" x14ac:dyDescent="0.25">
      <c r="F692" s="475" t="s">
        <v>1031</v>
      </c>
    </row>
  </sheetData>
  <mergeCells count="11">
    <mergeCell ref="D43:E43"/>
    <mergeCell ref="D121:E121"/>
    <mergeCell ref="D146:E146"/>
    <mergeCell ref="F2:K2"/>
    <mergeCell ref="A4:A6"/>
    <mergeCell ref="B4:C6"/>
    <mergeCell ref="D4:E6"/>
    <mergeCell ref="F4:F5"/>
    <mergeCell ref="I4:I5"/>
    <mergeCell ref="J4:J5"/>
    <mergeCell ref="K4:K6"/>
  </mergeCells>
  <pageMargins left="0.70866141732283472" right="0.19685039370078741" top="0.59055118110236227" bottom="1.1417322834645669" header="0.31496062992125984" footer="0.31496062992125984"/>
  <pageSetup paperSize="5" scale="7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Laporan Realisasi APBDes</vt:lpstr>
      <vt:lpstr>CALK</vt:lpstr>
      <vt:lpstr>Laporan bulanan</vt:lpstr>
      <vt:lpstr>PROGRAM SEKTORAL</vt:lpstr>
      <vt:lpstr>ASET</vt:lpstr>
      <vt:lpstr>lap sem</vt:lpstr>
      <vt:lpstr>lamp LPPD</vt:lpstr>
      <vt:lpstr>lamp LPPD (2)</vt:lpstr>
      <vt:lpstr>CALK!Print_Area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2021-01-27T04:18:48Z</cp:lastPrinted>
  <dcterms:created xsi:type="dcterms:W3CDTF">2019-12-10T04:39:07Z</dcterms:created>
  <dcterms:modified xsi:type="dcterms:W3CDTF">2021-01-27T08:32:05Z</dcterms:modified>
</cp:coreProperties>
</file>